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Notes - Notes" sheetId="1" r:id="rId4"/>
    <sheet name="Travel times (average distances" sheetId="2" r:id="rId5"/>
    <sheet name="Distances (average)" sheetId="3" r:id="rId6"/>
    <sheet name="Travel times (2351 distances)" sheetId="4" r:id="rId7"/>
    <sheet name="Distances (2351)" sheetId="5" r:id="rId8"/>
  </sheets>
</workbook>
</file>

<file path=xl/sharedStrings.xml><?xml version="1.0" encoding="utf-8"?>
<sst xmlns="http://schemas.openxmlformats.org/spreadsheetml/2006/main" uniqueCount="144">
  <si>
    <t>NOTES</t>
  </si>
  <si>
    <t>The sheets</t>
  </si>
  <si>
    <t>There are two “Travel times” sheets. One uses average planetary positions, the other uses positions for 1 July 2351.
Note that both also have identical sections with “Travel time (generic)” and “Travel time (generic, no coast)”.
I’m imagining that you will consistently use either average planetary positions, or those for 1 July 2351.
There are three travel time calculators on each one. One is based on travel between named places. The other two are more general, just
requiring a distance; one is for burn-coast-flip-burn, the other for burn-flip-burn.</t>
  </si>
  <si>
    <t>Travel times</t>
  </si>
  <si>
    <t>Travel times are calculated assuming the same acceleration and burn times for both acceleration and deceleration, with an intermediate coast, if that is necessary to reach the destination.</t>
  </si>
  <si>
    <t>Cell colours</t>
  </si>
  <si>
    <t>Cells with red text are for data input. 
Do not edit any of the other cells. 
Cells with white text and a red background are warnings (see below).</t>
  </si>
  <si>
    <t>How to use the TRAVEL TIME calculator</t>
  </si>
  <si>
    <t>Select the departure and destination locations in the ‘From’ and ‘To’ cells.
Set the acceleration in ‘Accel, a’ and the duration of burn in ‘Taccel, ta’.
‘Tcruise, tc’ gives the duration of the cruise period of the trip.
‘Total, t’ gives the total duration (i.e. acceleration period plus coast period plus deceleration period).
‘Propellant’ indicates how much propellant is used in units of acceleration * time (ie. delta v)
‘Fraction’ indicates what fraction of the ship’s propellant is used on the trip.</t>
  </si>
  <si>
    <t>How to use the TRAVEL TIME (GENERIC) calculator</t>
  </si>
  <si>
    <t>This is very much like the TRAVEL TIME calculator except, instead of selecting the departure and destination, you just enter the total distance to travel.</t>
  </si>
  <si>
    <t>How to use the TRAVEL TIME (GENERIC, NO COAST) calculator</t>
  </si>
  <si>
    <t>Enter the total distance and the acceleration. This will calculate the total time, assuming you are doing no coasting, just doing a burn-flip-burn.</t>
  </si>
  <si>
    <t>Ship parameters</t>
  </si>
  <si>
    <t>This contains information on the amount of burn and duration of burn the ship can do on a full tank of propellant.
 It is pre-populated with values for the Rocinante, based on a comment by Alex, along the lines of “the Roci can pull 0.3 g for about 4 weeks”.
I am assuming a inverse relationship between acceleration and burn duration. So the Roci can pull 0.3 g for 28 days, or 3 g for 2.8 days, etc.
The engine is probably less efficient at higher accelerations, but I haven’t tried to factor this in.
You will have to guess the values for other ships.</t>
  </si>
  <si>
    <t>‘Tcruise’ warning</t>
  </si>
  <si>
    <t>If the ‘Tcruise’ cell goes red, it indicates that a negative Tcruise has been calculated. This occurs when the acceleration and its duration are too large and you would overshoot the destination. Reduce ‘Accel’ and/or ‘Taccel’ until the ‘Tcruise’ cell is no longer red.</t>
  </si>
  <si>
    <t>Fraction’ (Propellant) warning.</t>
  </si>
  <si>
    <t>If this cell goes red, it indicate you do not have enough propellant to reach your destination. Reduce ‘Accel’ and/or ‘Taccel’ until the cell is no longer red.</t>
  </si>
  <si>
    <t>Comparison with distances in the rules</t>
  </si>
  <si>
    <r>
      <rPr>
        <sz val="10"/>
        <color indexed="8"/>
        <rFont val="DIN Alternate Bold"/>
      </rPr>
      <t xml:space="preserve">How do these value compare with the rules?
</t>
    </r>
    <r>
      <rPr>
        <sz val="10"/>
        <color indexed="8"/>
        <rFont val="DIN Alternate Bold"/>
      </rPr>
      <t xml:space="preserve">Distances are very different. This is a consequence of the arguments given in  </t>
    </r>
    <r>
      <rPr>
        <u val="single"/>
        <sz val="10"/>
        <color indexed="8"/>
        <rFont val="DIN Alternate Bold"/>
      </rPr>
      <t>https://physicstoday.scitation.org/do/10.1063/PT.6.3.20190312a/full/</t>
    </r>
    <r>
      <rPr>
        <sz val="10"/>
        <color indexed="8"/>
        <rFont val="DIN Alternate Bold"/>
      </rPr>
      <t>.</t>
    </r>
  </si>
  <si>
    <t>See, for example, Pluto to Neptune. In the rules it is 9.42 au. Here it is 45.6 au. It could be that the rules authors took the average distance between the two planets over the duration that the expanse is set.</t>
  </si>
  <si>
    <r>
      <rPr>
        <sz val="10"/>
        <color indexed="8"/>
        <rFont val="DIN Alternate Bold"/>
      </rPr>
      <t>However, this (</t>
    </r>
    <r>
      <rPr>
        <u val="single"/>
        <sz val="10"/>
        <color indexed="8"/>
        <rFont val="DIN Alternate Bold"/>
      </rPr>
      <t>https://www.wolframalpha.com/input/?i=+distance+from+neptune+to+pluto+01%2F07%2F2350</t>
    </r>
    <r>
      <rPr>
        <sz val="10"/>
        <color indexed="8"/>
        <rFont val="DIN Alternate Bold"/>
      </rPr>
      <t xml:space="preserve">) would suggest that the distance then is about 33 au. </t>
    </r>
  </si>
  <si>
    <t>Comparison of travel times with the rules</t>
  </si>
  <si>
    <t>Consider a trip from Earth to Jupiter (4.2 au in the rules). 
The rules give travel times of: 
257 hours at 0.3 g; 141 hours at 1 g; 53 hours at 7 g; 41 hours at 12 g.
Using the parameters for the Rocinante, this spreadsheet predicts (for 4.2 au):
257 hours at 0.3 g; 141 hours at 1 g; 53 hours at 7 g; 41 hours at 12 g.
Note: the two calculations are in good agreement (because none of these burns uses all the Roci’s propellant (the 12 g burn uses 69%).</t>
  </si>
  <si>
    <t>Consider now a trip from Earth to Pluto (38.53 au in the rules).
The rules give travel times of: 
778 hours at 0.3 g; 426 hours at 1 g; 161 hours at 7 g; 123 hours at 12 g 
(32.4 days, 17.8 days, 6.7 days, 5.1 days, respectively).
Using the parameters for the Rocinante, this spreadsheet predicts (for 38.53 au):
32.4 days at 0.3 g (35% propellant); 17.7 days at 1 g (63% propellant); 7.6 days at 7 g (100% propellant); 6.8 days at 12 g (100% propellant).</t>
  </si>
  <si>
    <t>So, for the 7 g and 12 g burns, the Roci has to coast for the middle section of the trip. She will achieve the same maximum speed in both cases, but will get to Pluto faster with the 12 g burn because she will hit that maximum speed faster, and maintain it for longer, than in the 7 g burn case.</t>
  </si>
  <si>
    <t>Miscellaneous</t>
  </si>
  <si>
    <t>This spreadsheet was developed in Apple’s Numbers application. It may have a few rough edges when converted to Microsoft Excel. I have tried as best as possible to structure it in Numbers to minimise any problems.</t>
  </si>
  <si>
    <t>Created by</t>
  </si>
  <si>
    <t xml:space="preserve">Ian Hayward. </t>
  </si>
  <si>
    <t>Comments/questions</t>
  </si>
  <si>
    <r>
      <rPr>
        <sz val="10"/>
        <color indexed="8"/>
        <rFont val="DIN Alternate Bold"/>
      </rPr>
      <t xml:space="preserve">Please email me at haywire at </t>
    </r>
    <r>
      <rPr>
        <u val="single"/>
        <sz val="10"/>
        <color indexed="8"/>
        <rFont val="DIN Alternate Bold"/>
      </rPr>
      <t>iandrea.co.uk</t>
    </r>
  </si>
  <si>
    <t>Version history</t>
  </si>
  <si>
    <t>22/08/2022: Version 04-A
09/02/2020: Version 01-A</t>
  </si>
  <si>
    <t>Travel times based on average distances</t>
  </si>
  <si>
    <t>TRAVEL TIME</t>
  </si>
  <si>
    <t>TRAVEL TIME (GENERIC)</t>
  </si>
  <si>
    <t>TRAVEL TIME (GENERIC, NO COAST)</t>
  </si>
  <si>
    <t>SHIP PARAMETERS</t>
  </si>
  <si>
    <t>Use between known places</t>
  </si>
  <si>
    <t>Use for generic flights</t>
  </si>
  <si>
    <t>Use for no coast flights</t>
  </si>
  <si>
    <t>Accel</t>
  </si>
  <si>
    <t>g</t>
  </si>
  <si>
    <t>DISTANCE</t>
  </si>
  <si>
    <t>T</t>
  </si>
  <si>
    <t>days</t>
  </si>
  <si>
    <t>From</t>
  </si>
  <si>
    <t>Earth</t>
  </si>
  <si>
    <t>Propellant</t>
  </si>
  <si>
    <t>g days</t>
  </si>
  <si>
    <t>To</t>
  </si>
  <si>
    <t>Neptune</t>
  </si>
  <si>
    <t>Row</t>
  </si>
  <si>
    <t>Column</t>
  </si>
  <si>
    <t>Distance</t>
  </si>
  <si>
    <t>au</t>
  </si>
  <si>
    <t>Brought to you by:</t>
  </si>
  <si>
    <t>light min</t>
  </si>
  <si>
    <t>Ian Hayward</t>
  </si>
  <si>
    <t>BURN</t>
  </si>
  <si>
    <t>haywire at andrea.co.uk</t>
  </si>
  <si>
    <t>Accel, a</t>
  </si>
  <si>
    <t>See the Notes tab for details</t>
  </si>
  <si>
    <t>Taccel, ta</t>
  </si>
  <si>
    <t>on how to use this spreadsheet.</t>
  </si>
  <si>
    <t>CALCULATIONS</t>
  </si>
  <si>
    <t>m</t>
  </si>
  <si>
    <t>m s^-2</t>
  </si>
  <si>
    <t>Taccel</t>
  </si>
  <si>
    <t>s</t>
  </si>
  <si>
    <t>DeltaV</t>
  </si>
  <si>
    <t>m s^-1</t>
  </si>
  <si>
    <t>au day^-1</t>
  </si>
  <si>
    <t>S/a</t>
  </si>
  <si>
    <t>s^2</t>
  </si>
  <si>
    <t>day^2</t>
  </si>
  <si>
    <t>Tcruise / tc</t>
  </si>
  <si>
    <t>Time</t>
  </si>
  <si>
    <t>TIMES</t>
  </si>
  <si>
    <t>Tcruise, tc</t>
  </si>
  <si>
    <t>Tflip, tf</t>
  </si>
  <si>
    <t>Total, t</t>
  </si>
  <si>
    <t>hours</t>
  </si>
  <si>
    <t>PROPELLANT</t>
  </si>
  <si>
    <t>Fraction</t>
  </si>
  <si>
    <t>%</t>
  </si>
  <si>
    <t>DISTANCES (AVERAGE) / au</t>
  </si>
  <si>
    <t>Sol</t>
  </si>
  <si>
    <t>Mercury</t>
  </si>
  <si>
    <t>Venus</t>
  </si>
  <si>
    <t>Eros</t>
  </si>
  <si>
    <t>Mars</t>
  </si>
  <si>
    <t>Ceres</t>
  </si>
  <si>
    <t>Tycho</t>
  </si>
  <si>
    <t>Anderson</t>
  </si>
  <si>
    <t>Jupiter</t>
  </si>
  <si>
    <t>Saturn</t>
  </si>
  <si>
    <t>Uranus</t>
  </si>
  <si>
    <t>Pluto</t>
  </si>
  <si>
    <t>COMMUNICATION TIMES (ONE-WAY, BASED ON DISTANCES (AVERAGED)) / min</t>
  </si>
  <si>
    <t>Distances</t>
  </si>
  <si>
    <t>Distances are average distances. All orbits are assumed circular.</t>
  </si>
  <si>
    <r>
      <rPr>
        <sz val="10"/>
        <color indexed="8"/>
        <rFont val="DIN Alternate Bold"/>
      </rPr>
      <t xml:space="preserve">Distances are calculated with the help of this article: </t>
    </r>
    <r>
      <rPr>
        <u val="single"/>
        <sz val="10"/>
        <color indexed="8"/>
        <rFont val="DIN Alternate Bold"/>
      </rPr>
      <t>https://physicstoday.scitation.org/do/10.1063/PT.6.3.20190312a/full/</t>
    </r>
    <r>
      <rPr>
        <sz val="10"/>
        <color indexed="8"/>
        <rFont val="DIN Alternate Bold"/>
      </rPr>
      <t>.</t>
    </r>
  </si>
  <si>
    <t>Anderson and Tycho Stations are assumed to be on the same orbit as Ceres,</t>
  </si>
  <si>
    <t>with Anderson opposite Ceres, and Tycho at the L4/L3 point from Ceres.</t>
  </si>
  <si>
    <r>
      <rPr>
        <sz val="10"/>
        <color indexed="8"/>
        <rFont val="DIN Alternate Bold"/>
      </rPr>
      <t xml:space="preserve">I used this site to help me with the elliptic integrals: </t>
    </r>
    <r>
      <rPr>
        <u val="single"/>
        <sz val="10"/>
        <color indexed="8"/>
        <rFont val="DIN Alternate Bold"/>
      </rPr>
      <t>https://keisan.casio.com/exec/system/1180573458</t>
    </r>
  </si>
  <si>
    <t>If you want to use real distances, I can recommend:</t>
  </si>
  <si>
    <r>
      <rPr>
        <u val="single"/>
        <sz val="10"/>
        <color indexed="8"/>
        <rFont val="DIN Alternate Bold"/>
      </rPr>
      <t>https://www.wolframalpha.com/input/?i=+distance+from+earth+to+mars+15%2F8%2F2215</t>
    </r>
    <r>
      <rPr>
        <sz val="10"/>
        <color indexed="8"/>
        <rFont val="DIN Alternate Bold"/>
      </rPr>
      <t>.</t>
    </r>
  </si>
  <si>
    <t>You will need to know the date that the Expanse is set, and keep track of time.</t>
  </si>
  <si>
    <r>
      <rPr>
        <sz val="10"/>
        <color indexed="8"/>
        <rFont val="DIN Alternate Bold"/>
      </rPr>
      <t xml:space="preserve">See: </t>
    </r>
    <r>
      <rPr>
        <u val="single"/>
        <sz val="10"/>
        <color indexed="8"/>
        <rFont val="DIN Alternate Bold"/>
      </rPr>
      <t>https://scifi.stackexchange.com/questions/156761/when-does-the-expanse-take-place</t>
    </r>
  </si>
  <si>
    <t>Travel times based on positions in 1 July 2351</t>
  </si>
  <si>
    <t>See the Notes sheet for details</t>
  </si>
  <si>
    <t>Distance and travel information for The Expanse, based on planet positions in 2351.</t>
  </si>
  <si>
    <t>Distance / au</t>
  </si>
  <si>
    <t>Object</t>
  </si>
  <si>
    <t>Moon</t>
  </si>
  <si>
    <r>
      <rPr>
        <sz val="10"/>
        <color indexed="8"/>
        <rFont val="DIN Alternate Bold"/>
      </rPr>
      <t>Tycho</t>
    </r>
  </si>
  <si>
    <r>
      <rPr>
        <sz val="10"/>
        <color indexed="8"/>
        <rFont val="DIN Alternate Bold"/>
      </rPr>
      <t>Anderson</t>
    </r>
  </si>
  <si>
    <t>Pallas</t>
  </si>
  <si>
    <t>Juno</t>
  </si>
  <si>
    <t>Vesta</t>
  </si>
  <si>
    <t>Ida</t>
  </si>
  <si>
    <t>Gaspra</t>
  </si>
  <si>
    <r>
      <rPr>
        <sz val="16"/>
        <color indexed="8"/>
        <rFont val="DIN Alternate Bold"/>
      </rPr>
      <t>H</t>
    </r>
    <r>
      <rPr>
        <vertAlign val="subscript"/>
        <sz val="13"/>
        <color indexed="8"/>
        <rFont val="DIN Alternate Bold"/>
      </rPr>
      <t>x</t>
    </r>
  </si>
  <si>
    <r>
      <rPr>
        <sz val="16"/>
        <color indexed="8"/>
        <rFont val="DIN Alternate Bold"/>
      </rPr>
      <t>H</t>
    </r>
    <r>
      <rPr>
        <vertAlign val="subscript"/>
        <sz val="13"/>
        <color indexed="8"/>
        <rFont val="DIN Alternate Bold"/>
      </rPr>
      <t>y</t>
    </r>
  </si>
  <si>
    <r>
      <rPr>
        <sz val="16"/>
        <color indexed="8"/>
        <rFont val="DIN Alternate Bold"/>
      </rPr>
      <t>H</t>
    </r>
    <r>
      <rPr>
        <vertAlign val="subscript"/>
        <sz val="13"/>
        <color indexed="8"/>
        <rFont val="DIN Alternate Bold"/>
      </rPr>
      <t>z</t>
    </r>
  </si>
  <si>
    <r>
      <rPr>
        <sz val="10"/>
        <color indexed="9"/>
        <rFont val="DIN Alternate Bold"/>
      </rPr>
      <t>Distance / light minutes</t>
    </r>
  </si>
  <si>
    <t>Sun</t>
  </si>
  <si>
    <r>
      <rPr>
        <sz val="10"/>
        <color indexed="9"/>
        <rFont val="DIN Alternate Bold"/>
      </rPr>
      <t>Ship acceleration</t>
    </r>
  </si>
  <si>
    <t>Accel / g</t>
  </si>
  <si>
    <t>Burn-flip-burn travel time / days</t>
  </si>
  <si>
    <r>
      <rPr>
        <sz val="10"/>
        <color indexed="9"/>
        <rFont val="DIN Alternate Bold"/>
      </rPr>
      <t>Data from cosine kitty</t>
    </r>
  </si>
  <si>
    <t>Hx / au</t>
  </si>
  <si>
    <t>Hy / au</t>
  </si>
  <si>
    <t>Hz /au</t>
  </si>
  <si>
    <r>
      <rPr>
        <sz val="10"/>
        <color indexed="8"/>
        <rFont val="DIN Alternate Bold"/>
      </rPr>
      <t xml:space="preserve">Distances are calculated using data from </t>
    </r>
    <r>
      <rPr>
        <u val="single"/>
        <sz val="10"/>
        <color indexed="8"/>
        <rFont val="DIN Alternate Bold"/>
      </rPr>
      <t>http://cosinekitty.com/solar_system.html</t>
    </r>
  </si>
  <si>
    <t>Anderson and Tycho Stations are assumed to be on the same orbit as Ceres, with Anderson opposite Ceres, and Tycho at the L4/L3 point from Ceres.</t>
  </si>
  <si>
    <t>Travel times are calculated assuming the same acceleration and burn times for both acceleration and deceleration, with no intermediate coast.</t>
  </si>
  <si>
    <t xml:space="preserve">Cells with red text are for data input. Do not edit any of the other cells. </t>
  </si>
  <si>
    <t>Copywright</t>
  </si>
  <si>
    <t>Ian Hayward ©2022.</t>
  </si>
  <si>
    <t>07/03/2021: Version 02-A</t>
  </si>
</sst>
</file>

<file path=xl/styles.xml><?xml version="1.0" encoding="utf-8"?>
<styleSheet xmlns="http://schemas.openxmlformats.org/spreadsheetml/2006/main">
  <numFmts count="3">
    <numFmt numFmtId="0" formatCode="General"/>
    <numFmt numFmtId="59" formatCode="0.0"/>
    <numFmt numFmtId="60" formatCode="0.0E+00"/>
  </numFmts>
  <fonts count="13">
    <font>
      <sz val="10"/>
      <color indexed="8"/>
      <name val="Helvetica Neue"/>
    </font>
    <font>
      <sz val="12"/>
      <color indexed="8"/>
      <name val="Helvetica Neue"/>
    </font>
    <font>
      <sz val="15"/>
      <color indexed="8"/>
      <name val="Calibri"/>
    </font>
    <font>
      <sz val="10"/>
      <color indexed="9"/>
      <name val="DIN Alternate Bold"/>
    </font>
    <font>
      <sz val="10"/>
      <color indexed="8"/>
      <name val="DIN Alternate Bold"/>
    </font>
    <font>
      <u val="single"/>
      <sz val="10"/>
      <color indexed="8"/>
      <name val="DIN Alternate Bold"/>
    </font>
    <font>
      <sz val="10"/>
      <color indexed="16"/>
      <name val="DIN Alternate Bold"/>
    </font>
    <font>
      <i val="1"/>
      <sz val="10"/>
      <color indexed="8"/>
      <name val="Helvetica Neue"/>
    </font>
    <font>
      <b val="1"/>
      <i val="1"/>
      <sz val="10"/>
      <color indexed="9"/>
      <name val="Helvetica Neue"/>
    </font>
    <font>
      <sz val="16"/>
      <color indexed="8"/>
      <name val="DIN Alternate Bold"/>
    </font>
    <font>
      <vertAlign val="subscript"/>
      <sz val="13"/>
      <color indexed="8"/>
      <name val="DIN Alternate Bold"/>
    </font>
    <font>
      <sz val="10"/>
      <color indexed="10"/>
      <name val="DIN Alternate Bold"/>
    </font>
    <font>
      <sz val="10"/>
      <color indexed="19"/>
      <name val="DIN Alternate Bold"/>
    </font>
  </fonts>
  <fills count="8">
    <fill>
      <patternFill patternType="none"/>
    </fill>
    <fill>
      <patternFill patternType="gray125"/>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8"/>
        <bgColor auto="1"/>
      </patternFill>
    </fill>
    <fill>
      <patternFill patternType="solid">
        <fgColor indexed="17"/>
        <bgColor auto="1"/>
      </patternFill>
    </fill>
    <fill>
      <patternFill patternType="solid">
        <fgColor indexed="9"/>
        <bgColor auto="1"/>
      </patternFill>
    </fill>
  </fills>
  <borders count="77">
    <border>
      <left/>
      <right/>
      <top/>
      <bottom/>
      <diagonal/>
    </border>
    <border>
      <left style="medium">
        <color indexed="10"/>
      </left>
      <right style="thin">
        <color indexed="11"/>
      </right>
      <top style="medium">
        <color indexed="10"/>
      </top>
      <bottom/>
      <diagonal/>
    </border>
    <border>
      <left style="thin">
        <color indexed="11"/>
      </left>
      <right style="medium">
        <color indexed="10"/>
      </right>
      <top style="medium">
        <color indexed="10"/>
      </top>
      <bottom/>
      <diagonal/>
    </border>
    <border>
      <left style="medium">
        <color indexed="10"/>
      </left>
      <right/>
      <top style="thin">
        <color indexed="13"/>
      </top>
      <bottom/>
      <diagonal/>
    </border>
    <border>
      <left/>
      <right/>
      <top style="thin">
        <color indexed="13"/>
      </top>
      <bottom/>
      <diagonal/>
    </border>
    <border>
      <left/>
      <right style="thin">
        <color indexed="13"/>
      </right>
      <top style="thin">
        <color indexed="13"/>
      </top>
      <bottom/>
      <diagonal/>
    </border>
    <border>
      <left style="medium">
        <color indexed="10"/>
      </left>
      <right style="thin">
        <color indexed="11"/>
      </right>
      <top/>
      <bottom/>
      <diagonal/>
    </border>
    <border>
      <left style="thin">
        <color indexed="11"/>
      </left>
      <right style="medium">
        <color indexed="10"/>
      </right>
      <top/>
      <bottom/>
      <diagonal/>
    </border>
    <border>
      <left style="medium">
        <color indexed="10"/>
      </left>
      <right/>
      <top/>
      <bottom/>
      <diagonal/>
    </border>
    <border>
      <left/>
      <right/>
      <top/>
      <bottom/>
      <diagonal/>
    </border>
    <border>
      <left/>
      <right style="thin">
        <color indexed="13"/>
      </right>
      <top/>
      <bottom/>
      <diagonal/>
    </border>
    <border>
      <left style="medium">
        <color indexed="10"/>
      </left>
      <right style="thin">
        <color indexed="11"/>
      </right>
      <top/>
      <bottom style="medium">
        <color indexed="10"/>
      </bottom>
      <diagonal/>
    </border>
    <border>
      <left style="thin">
        <color indexed="11"/>
      </left>
      <right style="medium">
        <color indexed="10"/>
      </right>
      <top/>
      <bottom style="medium">
        <color indexed="10"/>
      </bottom>
      <diagonal/>
    </border>
    <border>
      <left style="medium">
        <color indexed="10"/>
      </left>
      <right/>
      <top/>
      <bottom style="thin">
        <color indexed="13"/>
      </bottom>
      <diagonal/>
    </border>
    <border>
      <left/>
      <right/>
      <top/>
      <bottom style="thin">
        <color indexed="13"/>
      </bottom>
      <diagonal/>
    </border>
    <border>
      <left/>
      <right style="thin">
        <color indexed="13"/>
      </right>
      <top/>
      <bottom style="thin">
        <color indexed="13"/>
      </bottom>
      <diagonal/>
    </border>
    <border>
      <left style="medium">
        <color indexed="15"/>
      </left>
      <right/>
      <top style="medium">
        <color indexed="15"/>
      </top>
      <bottom style="medium">
        <color indexed="15"/>
      </bottom>
      <diagonal/>
    </border>
    <border>
      <left/>
      <right/>
      <top style="medium">
        <color indexed="15"/>
      </top>
      <bottom style="medium">
        <color indexed="15"/>
      </bottom>
      <diagonal/>
    </border>
    <border>
      <left/>
      <right style="medium">
        <color indexed="15"/>
      </right>
      <top style="medium">
        <color indexed="15"/>
      </top>
      <bottom style="medium">
        <color indexed="15"/>
      </bottom>
      <diagonal/>
    </border>
    <border>
      <left style="thin">
        <color indexed="13"/>
      </left>
      <right/>
      <top style="medium">
        <color indexed="15"/>
      </top>
      <bottom style="medium">
        <color indexed="15"/>
      </bottom>
      <diagonal/>
    </border>
    <border>
      <left/>
      <right/>
      <top style="medium">
        <color indexed="15"/>
      </top>
      <bottom/>
      <diagonal/>
    </border>
    <border>
      <left/>
      <right style="thin">
        <color indexed="13"/>
      </right>
      <top style="medium">
        <color indexed="15"/>
      </top>
      <bottom style="medium">
        <color indexed="15"/>
      </bottom>
      <diagonal/>
    </border>
    <border>
      <left style="medium">
        <color indexed="15"/>
      </left>
      <right/>
      <top style="medium">
        <color indexed="15"/>
      </top>
      <bottom/>
      <diagonal/>
    </border>
    <border>
      <left/>
      <right style="medium">
        <color indexed="10"/>
      </right>
      <top style="medium">
        <color indexed="15"/>
      </top>
      <bottom/>
      <diagonal/>
    </border>
    <border>
      <left style="medium">
        <color indexed="10"/>
      </left>
      <right style="medium">
        <color indexed="10"/>
      </right>
      <top/>
      <bottom/>
      <diagonal/>
    </border>
    <border>
      <left style="medium">
        <color indexed="10"/>
      </left>
      <right/>
      <top style="medium">
        <color indexed="15"/>
      </top>
      <bottom/>
      <diagonal/>
    </border>
    <border>
      <left style="medium">
        <color indexed="10"/>
      </left>
      <right style="medium">
        <color indexed="15"/>
      </right>
      <top/>
      <bottom/>
      <diagonal/>
    </border>
    <border>
      <left style="medium">
        <color indexed="15"/>
      </left>
      <right style="medium">
        <color indexed="15"/>
      </right>
      <top/>
      <bottom/>
      <diagonal/>
    </border>
    <border>
      <left/>
      <right style="medium">
        <color indexed="10"/>
      </right>
      <top/>
      <bottom/>
      <diagonal/>
    </border>
    <border>
      <left/>
      <right style="medium">
        <color indexed="15"/>
      </right>
      <top style="medium">
        <color indexed="15"/>
      </top>
      <bottom/>
      <diagonal/>
    </border>
    <border>
      <left style="medium">
        <color indexed="15"/>
      </left>
      <right/>
      <top/>
      <bottom/>
      <diagonal/>
    </border>
    <border>
      <left/>
      <right style="medium">
        <color indexed="15"/>
      </right>
      <top/>
      <bottom/>
      <diagonal/>
    </border>
    <border>
      <left style="medium">
        <color indexed="10"/>
      </left>
      <right/>
      <top/>
      <bottom style="medium">
        <color indexed="10"/>
      </bottom>
      <diagonal/>
    </border>
    <border>
      <left/>
      <right/>
      <top/>
      <bottom style="medium">
        <color indexed="10"/>
      </bottom>
      <diagonal/>
    </border>
    <border>
      <left/>
      <right style="medium">
        <color indexed="15"/>
      </right>
      <top/>
      <bottom style="medium">
        <color indexed="10"/>
      </bottom>
      <diagonal/>
    </border>
    <border>
      <left/>
      <right/>
      <top style="medium">
        <color indexed="10"/>
      </top>
      <bottom style="medium">
        <color indexed="15"/>
      </bottom>
      <diagonal/>
    </border>
    <border>
      <left/>
      <right style="thin">
        <color indexed="13"/>
      </right>
      <top style="medium">
        <color indexed="10"/>
      </top>
      <bottom style="medium">
        <color indexed="15"/>
      </bottom>
      <diagonal/>
    </border>
    <border>
      <left style="medium">
        <color indexed="10"/>
      </left>
      <right style="thin">
        <color indexed="11"/>
      </right>
      <top style="medium">
        <color indexed="15"/>
      </top>
      <bottom style="medium">
        <color indexed="15"/>
      </bottom>
      <diagonal/>
    </border>
    <border>
      <left style="thin">
        <color indexed="11"/>
      </left>
      <right style="thin">
        <color indexed="11"/>
      </right>
      <top style="medium">
        <color indexed="15"/>
      </top>
      <bottom style="medium">
        <color indexed="15"/>
      </bottom>
      <diagonal/>
    </border>
    <border>
      <left style="thin">
        <color indexed="11"/>
      </left>
      <right style="medium">
        <color indexed="15"/>
      </right>
      <top style="medium">
        <color indexed="15"/>
      </top>
      <bottom style="medium">
        <color indexed="15"/>
      </bottom>
      <diagonal/>
    </border>
    <border>
      <left/>
      <right style="medium">
        <color indexed="10"/>
      </right>
      <top/>
      <bottom style="medium">
        <color indexed="10"/>
      </bottom>
      <diagonal/>
    </border>
    <border>
      <left/>
      <right/>
      <top style="medium">
        <color indexed="10"/>
      </top>
      <bottom style="medium">
        <color indexed="10"/>
      </bottom>
      <diagonal/>
    </border>
    <border>
      <left/>
      <right style="thin">
        <color indexed="13"/>
      </right>
      <top style="medium">
        <color indexed="10"/>
      </top>
      <bottom style="medium">
        <color indexed="10"/>
      </bottom>
      <diagonal/>
    </border>
    <border>
      <left/>
      <right/>
      <top style="medium">
        <color indexed="10"/>
      </top>
      <bottom/>
      <diagonal/>
    </border>
    <border>
      <left/>
      <right style="thin">
        <color indexed="13"/>
      </right>
      <top style="medium">
        <color indexed="10"/>
      </top>
      <bottom/>
      <diagonal/>
    </border>
    <border>
      <left style="medium">
        <color indexed="15"/>
      </left>
      <right/>
      <top/>
      <bottom style="medium">
        <color indexed="15"/>
      </bottom>
      <diagonal/>
    </border>
    <border>
      <left/>
      <right/>
      <top/>
      <bottom style="medium">
        <color indexed="15"/>
      </bottom>
      <diagonal/>
    </border>
    <border>
      <left/>
      <right style="medium">
        <color indexed="10"/>
      </right>
      <top/>
      <bottom style="medium">
        <color indexed="15"/>
      </bottom>
      <diagonal/>
    </border>
    <border>
      <left style="medium">
        <color indexed="10"/>
      </left>
      <right style="medium">
        <color indexed="10"/>
      </right>
      <top/>
      <bottom style="thin">
        <color indexed="13"/>
      </bottom>
      <diagonal/>
    </border>
    <border>
      <left style="medium">
        <color indexed="10"/>
      </left>
      <right/>
      <top/>
      <bottom style="medium">
        <color indexed="15"/>
      </bottom>
      <diagonal/>
    </border>
    <border>
      <left style="medium">
        <color indexed="10"/>
      </left>
      <right/>
      <top style="medium">
        <color indexed="10"/>
      </top>
      <bottom style="medium">
        <color indexed="10"/>
      </bottom>
      <diagonal/>
    </border>
    <border>
      <left/>
      <right/>
      <top style="medium">
        <color indexed="10"/>
      </top>
      <bottom style="medium">
        <color indexed="8"/>
      </bottom>
      <diagonal/>
    </border>
    <border>
      <left/>
      <right style="medium">
        <color indexed="10"/>
      </right>
      <top style="medium">
        <color indexed="10"/>
      </top>
      <bottom style="medium">
        <color indexed="10"/>
      </bottom>
      <diagonal/>
    </border>
    <border>
      <left style="thin">
        <color indexed="11"/>
      </left>
      <right style="thin">
        <color indexed="11"/>
      </right>
      <top style="medium">
        <color indexed="8"/>
      </top>
      <bottom/>
      <diagonal/>
    </border>
    <border>
      <left style="thin">
        <color indexed="11"/>
      </left>
      <right style="thin">
        <color indexed="11"/>
      </right>
      <top style="medium">
        <color indexed="10"/>
      </top>
      <bottom/>
      <diagonal/>
    </border>
    <border>
      <left style="thin">
        <color indexed="11"/>
      </left>
      <right style="thin">
        <color indexed="11"/>
      </right>
      <top/>
      <bottom/>
      <diagonal/>
    </border>
    <border>
      <left style="thin">
        <color indexed="11"/>
      </left>
      <right style="thin">
        <color indexed="11"/>
      </right>
      <top/>
      <bottom style="medium">
        <color indexed="10"/>
      </bottom>
      <diagonal/>
    </border>
    <border>
      <left style="thin">
        <color indexed="13"/>
      </left>
      <right/>
      <top style="medium">
        <color indexed="10"/>
      </top>
      <bottom/>
      <diagonal/>
    </border>
    <border>
      <left style="thin">
        <color indexed="13"/>
      </left>
      <right/>
      <top style="medium">
        <color indexed="10"/>
      </top>
      <bottom style="medium">
        <color indexed="10"/>
      </bottom>
      <diagonal/>
    </border>
    <border>
      <left style="medium">
        <color indexed="10"/>
      </left>
      <right/>
      <top style="medium">
        <color indexed="10"/>
      </top>
      <bottom/>
      <diagonal/>
    </border>
    <border>
      <left/>
      <right style="medium">
        <color indexed="10"/>
      </right>
      <top style="medium">
        <color indexed="10"/>
      </top>
      <bottom/>
      <diagonal/>
    </border>
    <border>
      <left style="medium">
        <color indexed="10"/>
      </left>
      <right style="thin">
        <color indexed="11"/>
      </right>
      <top style="medium">
        <color indexed="10"/>
      </top>
      <bottom style="medium">
        <color indexed="10"/>
      </bottom>
      <diagonal/>
    </border>
    <border>
      <left style="thin">
        <color indexed="11"/>
      </left>
      <right style="thin">
        <color indexed="11"/>
      </right>
      <top style="medium">
        <color indexed="10"/>
      </top>
      <bottom style="medium">
        <color indexed="10"/>
      </bottom>
      <diagonal/>
    </border>
    <border>
      <left style="thin">
        <color indexed="11"/>
      </left>
      <right style="medium">
        <color indexed="10"/>
      </right>
      <top style="medium">
        <color indexed="10"/>
      </top>
      <bottom style="medium">
        <color indexed="10"/>
      </bottom>
      <diagonal/>
    </border>
    <border>
      <left/>
      <right style="thin">
        <color indexed="13"/>
      </right>
      <top/>
      <bottom style="medium">
        <color indexed="10"/>
      </bottom>
      <diagonal/>
    </border>
    <border>
      <left style="thin">
        <color indexed="11"/>
      </left>
      <right style="medium">
        <color indexed="8"/>
      </right>
      <top style="medium">
        <color indexed="10"/>
      </top>
      <bottom/>
      <diagonal/>
    </border>
    <border>
      <left style="medium">
        <color indexed="8"/>
      </left>
      <right style="medium">
        <color indexed="10"/>
      </right>
      <top/>
      <bottom/>
      <diagonal/>
    </border>
    <border>
      <left style="thin">
        <color indexed="11"/>
      </left>
      <right/>
      <top style="medium">
        <color indexed="10"/>
      </top>
      <bottom/>
      <diagonal/>
    </border>
    <border>
      <left style="thin">
        <color indexed="11"/>
      </left>
      <right style="medium">
        <color indexed="8"/>
      </right>
      <top/>
      <bottom/>
      <diagonal/>
    </border>
    <border>
      <left style="thin">
        <color indexed="11"/>
      </left>
      <right/>
      <top/>
      <bottom/>
      <diagonal/>
    </border>
    <border>
      <left style="medium">
        <color indexed="10"/>
      </left>
      <right style="thin">
        <color indexed="11"/>
      </right>
      <top/>
      <bottom style="medium">
        <color indexed="8"/>
      </bottom>
      <diagonal/>
    </border>
    <border>
      <left style="thin">
        <color indexed="11"/>
      </left>
      <right style="thin">
        <color indexed="11"/>
      </right>
      <top/>
      <bottom style="medium">
        <color indexed="8"/>
      </bottom>
      <diagonal/>
    </border>
    <border>
      <left style="thin">
        <color indexed="11"/>
      </left>
      <right/>
      <top/>
      <bottom style="medium">
        <color indexed="10"/>
      </bottom>
      <diagonal/>
    </border>
    <border>
      <left style="medium">
        <color indexed="8"/>
      </left>
      <right/>
      <top/>
      <bottom/>
      <diagonal/>
    </border>
    <border>
      <left/>
      <right/>
      <top style="medium">
        <color indexed="8"/>
      </top>
      <bottom/>
      <diagonal/>
    </border>
    <border>
      <left style="thin">
        <color indexed="11"/>
      </left>
      <right style="medium">
        <color indexed="8"/>
      </right>
      <top/>
      <bottom style="medium">
        <color indexed="10"/>
      </bottom>
      <diagonal/>
    </border>
    <border>
      <left style="medium">
        <color indexed="8"/>
      </left>
      <right/>
      <top/>
      <bottom style="thin">
        <color indexed="13"/>
      </bottom>
      <diagonal/>
    </border>
  </borders>
  <cellStyleXfs count="1">
    <xf numFmtId="0" fontId="0" applyNumberFormat="0" applyFont="1" applyFill="0" applyBorder="0" applyAlignment="1" applyProtection="0">
      <alignment vertical="top" wrapText="1"/>
    </xf>
  </cellStyleXfs>
  <cellXfs count="232">
    <xf numFmtId="0" fontId="0" applyNumberFormat="0" applyFont="1" applyFill="0" applyBorder="0" applyAlignment="1" applyProtection="0">
      <alignment vertical="top" wrapText="1"/>
    </xf>
    <xf numFmtId="0" fontId="0" applyNumberFormat="1" applyFont="1" applyFill="0" applyBorder="0" applyAlignment="1" applyProtection="0">
      <alignment vertical="top" wrapText="1"/>
    </xf>
    <xf numFmtId="49" fontId="3" fillId="2" borderId="1" applyNumberFormat="1" applyFont="1" applyFill="1" applyBorder="1" applyAlignment="1" applyProtection="0">
      <alignment horizontal="left" vertical="top" wrapText="1"/>
    </xf>
    <xf numFmtId="0" fontId="0" fillId="3" borderId="2" applyNumberFormat="0" applyFont="1" applyFill="1" applyBorder="1" applyAlignment="1" applyProtection="0">
      <alignment vertical="top" wrapText="1"/>
    </xf>
    <xf numFmtId="0" fontId="0" fillId="3" borderId="3" applyNumberFormat="0" applyFont="1" applyFill="1" applyBorder="1" applyAlignment="1" applyProtection="0">
      <alignment vertical="top" wrapText="1"/>
    </xf>
    <xf numFmtId="0" fontId="0" fillId="3" borderId="4" applyNumberFormat="0" applyFont="1" applyFill="1" applyBorder="1" applyAlignment="1" applyProtection="0">
      <alignment vertical="top" wrapText="1"/>
    </xf>
    <xf numFmtId="0" fontId="0" fillId="3" borderId="5" applyNumberFormat="0" applyFont="1" applyFill="1" applyBorder="1" applyAlignment="1" applyProtection="0">
      <alignment vertical="top" wrapText="1"/>
    </xf>
    <xf numFmtId="49" fontId="4" fillId="4" borderId="6" applyNumberFormat="1" applyFont="1" applyFill="1" applyBorder="1" applyAlignment="1" applyProtection="0">
      <alignment horizontal="left" vertical="top" wrapText="1"/>
    </xf>
    <xf numFmtId="49" fontId="4" fillId="4" borderId="7" applyNumberFormat="1" applyFont="1" applyFill="1" applyBorder="1" applyAlignment="1" applyProtection="0">
      <alignment horizontal="left" vertical="top" wrapText="1"/>
    </xf>
    <xf numFmtId="0" fontId="0" fillId="3" borderId="8" applyNumberFormat="0" applyFont="1" applyFill="1" applyBorder="1" applyAlignment="1" applyProtection="0">
      <alignment vertical="top" wrapText="1"/>
    </xf>
    <xf numFmtId="0" fontId="0" fillId="3" borderId="9" applyNumberFormat="0" applyFont="1" applyFill="1" applyBorder="1" applyAlignment="1" applyProtection="0">
      <alignment vertical="top" wrapText="1"/>
    </xf>
    <xf numFmtId="0" fontId="0" fillId="3" borderId="10" applyNumberFormat="0" applyFont="1" applyFill="1" applyBorder="1" applyAlignment="1" applyProtection="0">
      <alignment vertical="top" wrapText="1"/>
    </xf>
    <xf numFmtId="49" fontId="4" fillId="3" borderId="6" applyNumberFormat="1" applyFont="1" applyFill="1" applyBorder="1" applyAlignment="1" applyProtection="0">
      <alignment horizontal="left" vertical="top" wrapText="1"/>
    </xf>
    <xf numFmtId="49" fontId="4" fillId="3" borderId="7" applyNumberFormat="1" applyFont="1" applyFill="1" applyBorder="1" applyAlignment="1" applyProtection="0">
      <alignment horizontal="left" vertical="top" wrapText="1"/>
    </xf>
    <xf numFmtId="0" fontId="0" fillId="4" borderId="6" applyNumberFormat="0" applyFont="1" applyFill="1" applyBorder="1" applyAlignment="1" applyProtection="0">
      <alignment vertical="top" wrapText="1"/>
    </xf>
    <xf numFmtId="0" fontId="0" fillId="3" borderId="6" applyNumberFormat="0" applyFont="1" applyFill="1" applyBorder="1" applyAlignment="1" applyProtection="0">
      <alignment vertical="top" wrapText="1"/>
    </xf>
    <xf numFmtId="49" fontId="4" fillId="4" borderId="11" applyNumberFormat="1" applyFont="1" applyFill="1" applyBorder="1" applyAlignment="1" applyProtection="0">
      <alignment horizontal="left" vertical="top" wrapText="1"/>
    </xf>
    <xf numFmtId="49" fontId="4" fillId="4" borderId="12" applyNumberFormat="1" applyFont="1" applyFill="1" applyBorder="1" applyAlignment="1" applyProtection="0">
      <alignment horizontal="left" vertical="top" wrapText="1"/>
    </xf>
    <xf numFmtId="0" fontId="0" fillId="3" borderId="13" applyNumberFormat="0" applyFont="1" applyFill="1" applyBorder="1" applyAlignment="1" applyProtection="0">
      <alignment vertical="top" wrapText="1"/>
    </xf>
    <xf numFmtId="0" fontId="0" fillId="3" borderId="14" applyNumberFormat="0" applyFont="1" applyFill="1" applyBorder="1" applyAlignment="1" applyProtection="0">
      <alignment vertical="top" wrapText="1"/>
    </xf>
    <xf numFmtId="0" fontId="0" fillId="3" borderId="15" applyNumberFormat="0" applyFont="1" applyFill="1" applyBorder="1" applyAlignment="1" applyProtection="0">
      <alignment vertical="top" wrapText="1"/>
    </xf>
    <xf numFmtId="0" fontId="0" applyNumberFormat="1" applyFont="1" applyFill="0" applyBorder="0" applyAlignment="1" applyProtection="0">
      <alignment vertical="top" wrapText="1"/>
    </xf>
    <xf numFmtId="49" fontId="3" fillId="2" borderId="16" applyNumberFormat="1" applyFont="1" applyFill="1" applyBorder="1" applyAlignment="1" applyProtection="0">
      <alignment horizontal="left" vertical="top"/>
    </xf>
    <xf numFmtId="0" fontId="3" fillId="2" borderId="17" applyNumberFormat="0" applyFont="1" applyFill="1" applyBorder="1" applyAlignment="1" applyProtection="0">
      <alignment horizontal="left" vertical="top"/>
    </xf>
    <xf numFmtId="0" fontId="3" fillId="2" borderId="18" applyNumberFormat="0" applyFont="1" applyFill="1" applyBorder="1" applyAlignment="1" applyProtection="0">
      <alignment horizontal="left" vertical="top"/>
    </xf>
    <xf numFmtId="0" fontId="3" fillId="3" borderId="19" applyNumberFormat="0" applyFont="1" applyFill="1" applyBorder="1" applyAlignment="1" applyProtection="0">
      <alignment horizontal="left" vertical="top"/>
    </xf>
    <xf numFmtId="0" fontId="0" fillId="3" borderId="17" applyNumberFormat="0" applyFont="1" applyFill="1" applyBorder="1" applyAlignment="1" applyProtection="0">
      <alignment horizontal="left" vertical="top"/>
    </xf>
    <xf numFmtId="0" fontId="0" fillId="3" borderId="17" applyNumberFormat="0" applyFont="1" applyFill="1" applyBorder="1" applyAlignment="1" applyProtection="0">
      <alignment vertical="top"/>
    </xf>
    <xf numFmtId="0" fontId="3" fillId="3" borderId="20" applyNumberFormat="0" applyFont="1" applyFill="1" applyBorder="1" applyAlignment="1" applyProtection="0">
      <alignment horizontal="left" vertical="top" wrapText="1"/>
    </xf>
    <xf numFmtId="0" fontId="3" fillId="3" borderId="17" applyNumberFormat="0" applyFont="1" applyFill="1" applyBorder="1" applyAlignment="1" applyProtection="0">
      <alignment horizontal="left" vertical="top"/>
    </xf>
    <xf numFmtId="0" fontId="0" fillId="3" borderId="21" applyNumberFormat="0" applyFont="1" applyFill="1" applyBorder="1" applyAlignment="1" applyProtection="0">
      <alignment vertical="top"/>
    </xf>
    <xf numFmtId="49" fontId="3" fillId="2" borderId="22" applyNumberFormat="1" applyFont="1" applyFill="1" applyBorder="1" applyAlignment="1" applyProtection="0">
      <alignment horizontal="left" vertical="top"/>
    </xf>
    <xf numFmtId="0" fontId="0" fillId="2" borderId="20" applyNumberFormat="0" applyFont="1" applyFill="1" applyBorder="1" applyAlignment="1" applyProtection="0">
      <alignment horizontal="left" vertical="top"/>
    </xf>
    <xf numFmtId="0" fontId="0" fillId="2" borderId="23" applyNumberFormat="0" applyFont="1" applyFill="1" applyBorder="1" applyAlignment="1" applyProtection="0">
      <alignment vertical="top"/>
    </xf>
    <xf numFmtId="0" fontId="3" fillId="3" borderId="24" applyNumberFormat="0" applyFont="1" applyFill="1" applyBorder="1" applyAlignment="1" applyProtection="0">
      <alignment horizontal="left" vertical="top" wrapText="1"/>
    </xf>
    <xf numFmtId="49" fontId="3" fillId="2" borderId="25" applyNumberFormat="1" applyFont="1" applyFill="1" applyBorder="1" applyAlignment="1" applyProtection="0">
      <alignment horizontal="left" vertical="top"/>
    </xf>
    <xf numFmtId="0" fontId="3" fillId="3" borderId="26" applyNumberFormat="0" applyFont="1" applyFill="1" applyBorder="1" applyAlignment="1" applyProtection="0">
      <alignment horizontal="left" vertical="top" wrapText="1"/>
    </xf>
    <xf numFmtId="0" fontId="0" fillId="2" borderId="17" applyNumberFormat="0" applyFont="1" applyFill="1" applyBorder="1" applyAlignment="1" applyProtection="0">
      <alignment horizontal="left" vertical="top"/>
    </xf>
    <xf numFmtId="0" fontId="0" fillId="2" borderId="18" applyNumberFormat="0" applyFont="1" applyFill="1" applyBorder="1" applyAlignment="1" applyProtection="0">
      <alignment vertical="top"/>
    </xf>
    <xf numFmtId="0" fontId="3" fillId="3" borderId="27" applyNumberFormat="0" applyFont="1" applyFill="1" applyBorder="1" applyAlignment="1" applyProtection="0">
      <alignment horizontal="left" vertical="top" wrapText="1"/>
    </xf>
    <xf numFmtId="49" fontId="4" fillId="3" borderId="8" applyNumberFormat="1" applyFont="1" applyFill="1" applyBorder="1" applyAlignment="1" applyProtection="0">
      <alignment horizontal="left" vertical="top"/>
    </xf>
    <xf numFmtId="0" fontId="0" fillId="3" borderId="9" applyNumberFormat="0" applyFont="1" applyFill="1" applyBorder="1" applyAlignment="1" applyProtection="0">
      <alignment horizontal="left" vertical="top"/>
    </xf>
    <xf numFmtId="0" fontId="0" fillId="3" borderId="28" applyNumberFormat="0" applyFont="1" applyFill="1" applyBorder="1" applyAlignment="1" applyProtection="0">
      <alignment vertical="top"/>
    </xf>
    <xf numFmtId="49" fontId="4" fillId="3" borderId="25" applyNumberFormat="1" applyFont="1" applyFill="1" applyBorder="1" applyAlignment="1" applyProtection="0">
      <alignment horizontal="left" vertical="top"/>
    </xf>
    <xf numFmtId="0" fontId="0" fillId="3" borderId="20" applyNumberFormat="0" applyFont="1" applyFill="1" applyBorder="1" applyAlignment="1" applyProtection="0">
      <alignment horizontal="left" vertical="top"/>
    </xf>
    <xf numFmtId="0" fontId="0" fillId="3" borderId="23" applyNumberFormat="0" applyFont="1" applyFill="1" applyBorder="1" applyAlignment="1" applyProtection="0">
      <alignment vertical="top"/>
    </xf>
    <xf numFmtId="49" fontId="4" fillId="3" borderId="25" applyNumberFormat="1" applyFont="1" applyFill="1" applyBorder="1" applyAlignment="1" applyProtection="0">
      <alignment horizontal="right" vertical="top" wrapText="1"/>
    </xf>
    <xf numFmtId="59" fontId="6" fillId="3" borderId="20" applyNumberFormat="1" applyFont="1" applyFill="1" applyBorder="1" applyAlignment="1" applyProtection="0">
      <alignment horizontal="left" vertical="top" wrapText="1"/>
    </xf>
    <xf numFmtId="49" fontId="4" fillId="3" borderId="29" applyNumberFormat="1" applyFont="1" applyFill="1" applyBorder="1" applyAlignment="1" applyProtection="0">
      <alignment horizontal="left" vertical="top" wrapText="1"/>
    </xf>
    <xf numFmtId="49" fontId="3" fillId="5" borderId="30" applyNumberFormat="1" applyFont="1" applyFill="1" applyBorder="1" applyAlignment="1" applyProtection="0">
      <alignment horizontal="left" vertical="top"/>
    </xf>
    <xf numFmtId="0" fontId="0" fillId="5" borderId="9" applyNumberFormat="0" applyFont="1" applyFill="1" applyBorder="1" applyAlignment="1" applyProtection="0">
      <alignment horizontal="left" vertical="top"/>
    </xf>
    <xf numFmtId="0" fontId="0" fillId="5" borderId="28" applyNumberFormat="0" applyFont="1" applyFill="1" applyBorder="1" applyAlignment="1" applyProtection="0">
      <alignment vertical="top"/>
    </xf>
    <xf numFmtId="49" fontId="3" fillId="5" borderId="8" applyNumberFormat="1" applyFont="1" applyFill="1" applyBorder="1" applyAlignment="1" applyProtection="0">
      <alignment horizontal="left" vertical="top"/>
    </xf>
    <xf numFmtId="49" fontId="4" fillId="3" borderId="8" applyNumberFormat="1" applyFont="1" applyFill="1" applyBorder="1" applyAlignment="1" applyProtection="0">
      <alignment horizontal="right" vertical="top" wrapText="1"/>
    </xf>
    <xf numFmtId="59" fontId="6" fillId="3" borderId="9" applyNumberFormat="1" applyFont="1" applyFill="1" applyBorder="1" applyAlignment="1" applyProtection="0">
      <alignment horizontal="left" vertical="top" wrapText="1"/>
    </xf>
    <xf numFmtId="49" fontId="4" fillId="3" borderId="31" applyNumberFormat="1" applyFont="1" applyFill="1" applyBorder="1" applyAlignment="1" applyProtection="0">
      <alignment horizontal="left" vertical="top" wrapText="1"/>
    </xf>
    <xf numFmtId="49" fontId="4" fillId="3" borderId="30" applyNumberFormat="1" applyFont="1" applyFill="1" applyBorder="1" applyAlignment="1" applyProtection="0">
      <alignment horizontal="right" vertical="top"/>
    </xf>
    <xf numFmtId="49" fontId="6" fillId="3" borderId="9" applyNumberFormat="1" applyFont="1" applyFill="1" applyBorder="1" applyAlignment="1" applyProtection="0">
      <alignment horizontal="left" vertical="top"/>
    </xf>
    <xf numFmtId="49" fontId="6" fillId="3" borderId="24" applyNumberFormat="1" applyFont="1" applyFill="1" applyBorder="1" applyAlignment="1" applyProtection="0">
      <alignment horizontal="left" vertical="top" wrapText="1"/>
    </xf>
    <xf numFmtId="0" fontId="0" fillId="3" borderId="9" applyNumberFormat="0" applyFont="1" applyFill="1" applyBorder="1" applyAlignment="1" applyProtection="0">
      <alignment horizontal="left" vertical="top" wrapText="1"/>
    </xf>
    <xf numFmtId="0" fontId="0" fillId="3" borderId="28" applyNumberFormat="0" applyFont="1" applyFill="1" applyBorder="1" applyAlignment="1" applyProtection="0">
      <alignment vertical="top" wrapText="1"/>
    </xf>
    <xf numFmtId="49" fontId="4" fillId="3" borderId="32" applyNumberFormat="1" applyFont="1" applyFill="1" applyBorder="1" applyAlignment="1" applyProtection="0">
      <alignment horizontal="right" vertical="top" wrapText="1"/>
    </xf>
    <xf numFmtId="59" fontId="4" fillId="3" borderId="33" applyNumberFormat="1" applyFont="1" applyFill="1" applyBorder="1" applyAlignment="1" applyProtection="0">
      <alignment horizontal="left" vertical="top" wrapText="1"/>
    </xf>
    <xf numFmtId="49" fontId="4" fillId="3" borderId="34" applyNumberFormat="1" applyFont="1" applyFill="1" applyBorder="1" applyAlignment="1" applyProtection="0">
      <alignment horizontal="left" vertical="top" wrapText="1"/>
    </xf>
    <xf numFmtId="49" fontId="6" fillId="3" borderId="8" applyNumberFormat="1" applyFont="1" applyFill="1" applyBorder="1" applyAlignment="1" applyProtection="0">
      <alignment horizontal="left" vertical="top" wrapText="1"/>
    </xf>
    <xf numFmtId="0" fontId="0" fillId="3" borderId="35" applyNumberFormat="0" applyFont="1" applyFill="1" applyBorder="1" applyAlignment="1" applyProtection="0">
      <alignment vertical="top" wrapText="1"/>
    </xf>
    <xf numFmtId="0" fontId="0" fillId="3" borderId="35" applyNumberFormat="0" applyFont="1" applyFill="1" applyBorder="1" applyAlignment="1" applyProtection="0">
      <alignment horizontal="left" vertical="top" wrapText="1"/>
    </xf>
    <xf numFmtId="0" fontId="0" fillId="3" borderId="36" applyNumberFormat="0" applyFont="1" applyFill="1" applyBorder="1" applyAlignment="1" applyProtection="0">
      <alignment vertical="top" wrapText="1"/>
    </xf>
    <xf numFmtId="49" fontId="7" fillId="3" borderId="30" applyNumberFormat="1" applyFont="1" applyFill="1" applyBorder="1" applyAlignment="1" applyProtection="0">
      <alignment horizontal="center" vertical="top"/>
    </xf>
    <xf numFmtId="0" fontId="7" fillId="3" borderId="9" applyNumberFormat="1" applyFont="1" applyFill="1" applyBorder="1" applyAlignment="1" applyProtection="0">
      <alignment horizontal="center" vertical="top"/>
    </xf>
    <xf numFmtId="0" fontId="7" fillId="3" borderId="28" applyNumberFormat="0" applyFont="1" applyFill="1" applyBorder="1" applyAlignment="1" applyProtection="0">
      <alignment horizontal="center" vertical="top"/>
    </xf>
    <xf numFmtId="0" fontId="7" fillId="3" borderId="24" applyNumberFormat="0" applyFont="1" applyFill="1" applyBorder="1" applyAlignment="1" applyProtection="0">
      <alignment horizontal="center" vertical="top" wrapText="1"/>
    </xf>
    <xf numFmtId="0" fontId="0" fillId="3" borderId="37" applyNumberFormat="0" applyFont="1" applyFill="1" applyBorder="1" applyAlignment="1" applyProtection="0">
      <alignment vertical="top" wrapText="1"/>
    </xf>
    <xf numFmtId="0" fontId="0" fillId="3" borderId="38" applyNumberFormat="0" applyFont="1" applyFill="1" applyBorder="1" applyAlignment="1" applyProtection="0">
      <alignment vertical="top" wrapText="1"/>
    </xf>
    <xf numFmtId="0" fontId="0" fillId="3" borderId="39" applyNumberFormat="0" applyFont="1" applyFill="1" applyBorder="1" applyAlignment="1" applyProtection="0">
      <alignment vertical="top" wrapText="1"/>
    </xf>
    <xf numFmtId="0" fontId="4" fillId="3" borderId="9" applyNumberFormat="1" applyFont="1" applyFill="1" applyBorder="1" applyAlignment="1" applyProtection="0">
      <alignment horizontal="left" vertical="top"/>
    </xf>
    <xf numFmtId="49" fontId="4" fillId="3" borderId="28" applyNumberFormat="1" applyFont="1" applyFill="1" applyBorder="1" applyAlignment="1" applyProtection="0">
      <alignment horizontal="left" vertical="top"/>
    </xf>
    <xf numFmtId="0" fontId="4" fillId="3" borderId="24" applyNumberFormat="0" applyFont="1" applyFill="1" applyBorder="1" applyAlignment="1" applyProtection="0">
      <alignment horizontal="left" vertical="top" wrapText="1"/>
    </xf>
    <xf numFmtId="49" fontId="4" fillId="3" borderId="8" applyNumberFormat="1" applyFont="1" applyFill="1" applyBorder="1" applyAlignment="1" applyProtection="0">
      <alignment horizontal="right" vertical="top"/>
    </xf>
    <xf numFmtId="0" fontId="6" fillId="3" borderId="9" applyNumberFormat="1" applyFont="1" applyFill="1" applyBorder="1" applyAlignment="1" applyProtection="0">
      <alignment horizontal="left" vertical="top"/>
    </xf>
    <xf numFmtId="0" fontId="4" fillId="3" borderId="26" applyNumberFormat="0" applyFont="1" applyFill="1" applyBorder="1" applyAlignment="1" applyProtection="0">
      <alignment horizontal="left" vertical="top" wrapText="1"/>
    </xf>
    <xf numFmtId="0" fontId="0" fillId="3" borderId="20" applyNumberFormat="0" applyFont="1" applyFill="1" applyBorder="1" applyAlignment="1" applyProtection="0">
      <alignment horizontal="left" vertical="top" wrapText="1"/>
    </xf>
    <xf numFmtId="0" fontId="0" fillId="3" borderId="23" applyNumberFormat="0" applyFont="1" applyFill="1" applyBorder="1" applyAlignment="1" applyProtection="0">
      <alignment vertical="top" wrapText="1"/>
    </xf>
    <xf numFmtId="0" fontId="4" fillId="3" borderId="9" applyNumberFormat="0" applyFont="1" applyFill="1" applyBorder="1" applyAlignment="1" applyProtection="0">
      <alignment horizontal="left" vertical="top"/>
    </xf>
    <xf numFmtId="0" fontId="4" fillId="3" borderId="28" applyNumberFormat="0" applyFont="1" applyFill="1" applyBorder="1" applyAlignment="1" applyProtection="0">
      <alignment horizontal="left" vertical="top"/>
    </xf>
    <xf numFmtId="59" fontId="6" fillId="3" borderId="9" applyNumberFormat="1" applyFont="1" applyFill="1" applyBorder="1" applyAlignment="1" applyProtection="0">
      <alignment horizontal="left" vertical="top"/>
    </xf>
    <xf numFmtId="49" fontId="3" fillId="6" borderId="8" applyNumberFormat="1" applyFont="1" applyFill="1" applyBorder="1" applyAlignment="1" applyProtection="0">
      <alignment horizontal="left" vertical="top"/>
    </xf>
    <xf numFmtId="0" fontId="4" fillId="6" borderId="9" applyNumberFormat="0" applyFont="1" applyFill="1" applyBorder="1" applyAlignment="1" applyProtection="0">
      <alignment horizontal="left" vertical="top"/>
    </xf>
    <xf numFmtId="0" fontId="4" fillId="6" borderId="28" applyNumberFormat="0" applyFont="1" applyFill="1" applyBorder="1" applyAlignment="1" applyProtection="0">
      <alignment horizontal="left" vertical="top"/>
    </xf>
    <xf numFmtId="49" fontId="3" fillId="6" borderId="32" applyNumberFormat="1" applyFont="1" applyFill="1" applyBorder="1" applyAlignment="1" applyProtection="0">
      <alignment horizontal="left" vertical="top"/>
    </xf>
    <xf numFmtId="0" fontId="3" fillId="6" borderId="33" applyNumberFormat="0" applyFont="1" applyFill="1" applyBorder="1" applyAlignment="1" applyProtection="0">
      <alignment horizontal="left" vertical="top"/>
    </xf>
    <xf numFmtId="0" fontId="3" fillId="6" borderId="40" applyNumberFormat="0" applyFont="1" applyFill="1" applyBorder="1" applyAlignment="1" applyProtection="0">
      <alignment horizontal="left" vertical="top"/>
    </xf>
    <xf numFmtId="49" fontId="8" fillId="5" borderId="30" applyNumberFormat="1" applyFont="1" applyFill="1" applyBorder="1" applyAlignment="1" applyProtection="0">
      <alignment horizontal="left" vertical="top"/>
    </xf>
    <xf numFmtId="0" fontId="0" fillId="5" borderId="9" applyNumberFormat="0" applyFont="1" applyFill="1" applyBorder="1" applyAlignment="1" applyProtection="0">
      <alignment vertical="top"/>
    </xf>
    <xf numFmtId="0" fontId="8" fillId="3" borderId="24" applyNumberFormat="0" applyFont="1" applyFill="1" applyBorder="1" applyAlignment="1" applyProtection="0">
      <alignment horizontal="left" vertical="top" wrapText="1"/>
    </xf>
    <xf numFmtId="49" fontId="8" fillId="5" borderId="8" applyNumberFormat="1" applyFont="1" applyFill="1" applyBorder="1" applyAlignment="1" applyProtection="0">
      <alignment horizontal="left" vertical="top"/>
    </xf>
    <xf numFmtId="0" fontId="8" fillId="3" borderId="8" applyNumberFormat="0" applyFont="1" applyFill="1" applyBorder="1" applyAlignment="1" applyProtection="0">
      <alignment horizontal="left" vertical="top" wrapText="1"/>
    </xf>
    <xf numFmtId="0" fontId="4" fillId="3" borderId="41" applyNumberFormat="0" applyFont="1" applyFill="1" applyBorder="1" applyAlignment="1" applyProtection="0">
      <alignment horizontal="left" vertical="top"/>
    </xf>
    <xf numFmtId="0" fontId="4" fillId="3" borderId="42" applyNumberFormat="0" applyFont="1" applyFill="1" applyBorder="1" applyAlignment="1" applyProtection="0">
      <alignment horizontal="left" vertical="top"/>
    </xf>
    <xf numFmtId="49" fontId="7" fillId="3" borderId="30" applyNumberFormat="1" applyFont="1" applyFill="1" applyBorder="1" applyAlignment="1" applyProtection="0">
      <alignment horizontal="right" vertical="top"/>
    </xf>
    <xf numFmtId="60" fontId="7" fillId="3" borderId="9" applyNumberFormat="1" applyFont="1" applyFill="1" applyBorder="1" applyAlignment="1" applyProtection="0">
      <alignment horizontal="center" vertical="top"/>
    </xf>
    <xf numFmtId="49" fontId="7" fillId="3" borderId="28" applyNumberFormat="1" applyFont="1" applyFill="1" applyBorder="1" applyAlignment="1" applyProtection="0">
      <alignment horizontal="left" vertical="top"/>
    </xf>
    <xf numFmtId="0" fontId="7" fillId="3" borderId="24" applyNumberFormat="0" applyFont="1" applyFill="1" applyBorder="1" applyAlignment="1" applyProtection="0">
      <alignment horizontal="left" vertical="top" wrapText="1"/>
    </xf>
    <xf numFmtId="49" fontId="7" fillId="3" borderId="8" applyNumberFormat="1" applyFont="1" applyFill="1" applyBorder="1" applyAlignment="1" applyProtection="0">
      <alignment horizontal="right" vertical="top"/>
    </xf>
    <xf numFmtId="0" fontId="7" fillId="3" borderId="8" applyNumberFormat="0" applyFont="1" applyFill="1" applyBorder="1" applyAlignment="1" applyProtection="0">
      <alignment horizontal="left" vertical="top" wrapText="1"/>
    </xf>
    <xf numFmtId="0" fontId="3" fillId="3" borderId="8" applyNumberFormat="0" applyFont="1" applyFill="1" applyBorder="1" applyAlignment="1" applyProtection="0">
      <alignment horizontal="left" vertical="top" wrapText="1"/>
    </xf>
    <xf numFmtId="0" fontId="4" fillId="3" borderId="43" applyNumberFormat="0" applyFont="1" applyFill="1" applyBorder="1" applyAlignment="1" applyProtection="0">
      <alignment horizontal="left" vertical="top"/>
    </xf>
    <xf numFmtId="0" fontId="4" fillId="3" borderId="44" applyNumberFormat="0" applyFont="1" applyFill="1" applyBorder="1" applyAlignment="1" applyProtection="0">
      <alignment horizontal="left" vertical="top"/>
    </xf>
    <xf numFmtId="60" fontId="4" fillId="3" borderId="9" applyNumberFormat="1" applyFont="1" applyFill="1" applyBorder="1" applyAlignment="1" applyProtection="0">
      <alignment horizontal="left" vertical="top"/>
    </xf>
    <xf numFmtId="0" fontId="4" fillId="3" borderId="8" applyNumberFormat="0" applyFont="1" applyFill="1" applyBorder="1" applyAlignment="1" applyProtection="0">
      <alignment horizontal="left" vertical="top" wrapText="1"/>
    </xf>
    <xf numFmtId="0" fontId="4" fillId="3" borderId="10" applyNumberFormat="0" applyFont="1" applyFill="1" applyBorder="1" applyAlignment="1" applyProtection="0">
      <alignment horizontal="left" vertical="top"/>
    </xf>
    <xf numFmtId="1" fontId="4" fillId="3" borderId="9" applyNumberFormat="1" applyFont="1" applyFill="1" applyBorder="1" applyAlignment="1" applyProtection="0">
      <alignment horizontal="left" vertical="top"/>
    </xf>
    <xf numFmtId="49" fontId="3" fillId="5" borderId="30" applyNumberFormat="1" applyFont="1" applyFill="1" applyBorder="1" applyAlignment="1" applyProtection="0">
      <alignment horizontal="left" vertical="top" wrapText="1"/>
    </xf>
    <xf numFmtId="49" fontId="4" fillId="3" borderId="30" applyNumberFormat="1" applyFont="1" applyFill="1" applyBorder="1" applyAlignment="1" applyProtection="0">
      <alignment horizontal="right" vertical="top" wrapText="1"/>
    </xf>
    <xf numFmtId="59" fontId="4" fillId="3" borderId="9" applyNumberFormat="1" applyFont="1" applyFill="1" applyBorder="1" applyAlignment="1" applyProtection="0">
      <alignment horizontal="left" vertical="top" wrapText="1"/>
    </xf>
    <xf numFmtId="49" fontId="4" fillId="3" borderId="28" applyNumberFormat="1" applyFont="1" applyFill="1" applyBorder="1" applyAlignment="1" applyProtection="0">
      <alignment horizontal="left" vertical="top" wrapText="1"/>
    </xf>
    <xf numFmtId="49" fontId="4" fillId="3" borderId="45" applyNumberFormat="1" applyFont="1" applyFill="1" applyBorder="1" applyAlignment="1" applyProtection="0">
      <alignment horizontal="right" vertical="top" wrapText="1"/>
    </xf>
    <xf numFmtId="1" fontId="4" fillId="3" borderId="46" applyNumberFormat="1" applyFont="1" applyFill="1" applyBorder="1" applyAlignment="1" applyProtection="0">
      <alignment horizontal="left" vertical="top" wrapText="1"/>
    </xf>
    <xf numFmtId="49" fontId="4" fillId="3" borderId="47" applyNumberFormat="1" applyFont="1" applyFill="1" applyBorder="1" applyAlignment="1" applyProtection="0">
      <alignment horizontal="left" vertical="top" wrapText="1"/>
    </xf>
    <xf numFmtId="0" fontId="4" fillId="3" borderId="48" applyNumberFormat="0" applyFont="1" applyFill="1" applyBorder="1" applyAlignment="1" applyProtection="0">
      <alignment horizontal="left" vertical="top" wrapText="1"/>
    </xf>
    <xf numFmtId="49" fontId="4" fillId="3" borderId="49" applyNumberFormat="1" applyFont="1" applyFill="1" applyBorder="1" applyAlignment="1" applyProtection="0">
      <alignment horizontal="right" vertical="top"/>
    </xf>
    <xf numFmtId="1" fontId="4" fillId="3" borderId="46" applyNumberFormat="1" applyFont="1" applyFill="1" applyBorder="1" applyAlignment="1" applyProtection="0">
      <alignment horizontal="left" vertical="top"/>
    </xf>
    <xf numFmtId="49" fontId="4" fillId="3" borderId="47" applyNumberFormat="1" applyFont="1" applyFill="1" applyBorder="1" applyAlignment="1" applyProtection="0">
      <alignment horizontal="left" vertical="top"/>
    </xf>
    <xf numFmtId="0" fontId="4" fillId="3" borderId="13" applyNumberFormat="0" applyFont="1" applyFill="1" applyBorder="1" applyAlignment="1" applyProtection="0">
      <alignment horizontal="left" vertical="top" wrapText="1"/>
    </xf>
    <xf numFmtId="0" fontId="4" fillId="3" borderId="14" applyNumberFormat="0" applyFont="1" applyFill="1" applyBorder="1" applyAlignment="1" applyProtection="0">
      <alignment horizontal="left" vertical="top"/>
    </xf>
    <xf numFmtId="0" fontId="4" fillId="3" borderId="15" applyNumberFormat="0" applyFont="1" applyFill="1" applyBorder="1" applyAlignment="1" applyProtection="0">
      <alignment horizontal="left" vertical="top"/>
    </xf>
    <xf numFmtId="0" fontId="0" applyNumberFormat="1" applyFont="1" applyFill="0" applyBorder="0" applyAlignment="1" applyProtection="0">
      <alignment vertical="top" wrapText="1"/>
    </xf>
    <xf numFmtId="49" fontId="3" fillId="2" borderId="50" applyNumberFormat="1" applyFont="1" applyFill="1" applyBorder="1" applyAlignment="1" applyProtection="0">
      <alignment horizontal="left" vertical="top"/>
    </xf>
    <xf numFmtId="0" fontId="0" fillId="2" borderId="51" applyNumberFormat="0" applyFont="1" applyFill="1" applyBorder="1" applyAlignment="1" applyProtection="0">
      <alignment vertical="top" wrapText="1"/>
    </xf>
    <xf numFmtId="0" fontId="4" fillId="2" borderId="41" applyNumberFormat="0" applyFont="1" applyFill="1" applyBorder="1" applyAlignment="1" applyProtection="0">
      <alignment horizontal="center" vertical="top" wrapText="1"/>
    </xf>
    <xf numFmtId="0" fontId="4" fillId="2" borderId="52" applyNumberFormat="0" applyFont="1" applyFill="1" applyBorder="1" applyAlignment="1" applyProtection="0">
      <alignment horizontal="center" vertical="top" wrapText="1"/>
    </xf>
    <xf numFmtId="0" fontId="4" fillId="3" borderId="1" applyNumberFormat="0" applyFont="1" applyFill="1" applyBorder="1" applyAlignment="1" applyProtection="0">
      <alignment horizontal="center" vertical="top" wrapText="1"/>
    </xf>
    <xf numFmtId="0" fontId="0" fillId="3" borderId="53" applyNumberFormat="0" applyFont="1" applyFill="1" applyBorder="1" applyAlignment="1" applyProtection="0">
      <alignment vertical="top" wrapText="1"/>
    </xf>
    <xf numFmtId="49" fontId="4" fillId="3" borderId="54" applyNumberFormat="1" applyFont="1" applyFill="1" applyBorder="1" applyAlignment="1" applyProtection="0">
      <alignment horizontal="center" vertical="top" wrapText="1"/>
    </xf>
    <xf numFmtId="49" fontId="4" fillId="3" borderId="2" applyNumberFormat="1" applyFont="1" applyFill="1" applyBorder="1" applyAlignment="1" applyProtection="0">
      <alignment horizontal="center" vertical="top" wrapText="1"/>
    </xf>
    <xf numFmtId="1" fontId="0" fillId="3" borderId="55" applyNumberFormat="1" applyFont="1" applyFill="1" applyBorder="1" applyAlignment="1" applyProtection="0">
      <alignment vertical="top" wrapText="1"/>
    </xf>
    <xf numFmtId="1" fontId="0" fillId="3" borderId="7" applyNumberFormat="1" applyFont="1" applyFill="1" applyBorder="1" applyAlignment="1" applyProtection="0">
      <alignment vertical="top" wrapText="1"/>
    </xf>
    <xf numFmtId="49" fontId="4" fillId="4" borderId="6" applyNumberFormat="1" applyFont="1" applyFill="1" applyBorder="1" applyAlignment="1" applyProtection="0">
      <alignment horizontal="right" vertical="top" wrapText="1"/>
    </xf>
    <xf numFmtId="59" fontId="0" fillId="3" borderId="55" applyNumberFormat="1" applyFont="1" applyFill="1" applyBorder="1" applyAlignment="1" applyProtection="0">
      <alignment vertical="top" wrapText="1"/>
    </xf>
    <xf numFmtId="59" fontId="4" fillId="4" borderId="55" applyNumberFormat="1" applyFont="1" applyFill="1" applyBorder="1" applyAlignment="1" applyProtection="0">
      <alignment horizontal="center" vertical="top" wrapText="1"/>
    </xf>
    <xf numFmtId="59" fontId="4" fillId="4" borderId="7" applyNumberFormat="1" applyFont="1" applyFill="1" applyBorder="1" applyAlignment="1" applyProtection="0">
      <alignment horizontal="center" vertical="top" wrapText="1"/>
    </xf>
    <xf numFmtId="49" fontId="4" fillId="3" borderId="6" applyNumberFormat="1" applyFont="1" applyFill="1" applyBorder="1" applyAlignment="1" applyProtection="0">
      <alignment horizontal="right" vertical="top" wrapText="1"/>
    </xf>
    <xf numFmtId="59" fontId="4" fillId="3" borderId="55" applyNumberFormat="1" applyFont="1" applyFill="1" applyBorder="1" applyAlignment="1" applyProtection="0">
      <alignment horizontal="center" vertical="top" wrapText="1"/>
    </xf>
    <xf numFmtId="59" fontId="4" fillId="3" borderId="7" applyNumberFormat="1" applyFont="1" applyFill="1" applyBorder="1" applyAlignment="1" applyProtection="0">
      <alignment horizontal="center" vertical="top" wrapText="1"/>
    </xf>
    <xf numFmtId="49" fontId="4" fillId="3" borderId="11" applyNumberFormat="1" applyFont="1" applyFill="1" applyBorder="1" applyAlignment="1" applyProtection="0">
      <alignment horizontal="right" vertical="top" wrapText="1"/>
    </xf>
    <xf numFmtId="59" fontId="4" fillId="3" borderId="56" applyNumberFormat="1" applyFont="1" applyFill="1" applyBorder="1" applyAlignment="1" applyProtection="0">
      <alignment horizontal="center" vertical="top" wrapText="1"/>
    </xf>
    <xf numFmtId="59" fontId="4" fillId="3" borderId="12" applyNumberFormat="1" applyFont="1" applyFill="1" applyBorder="1" applyAlignment="1" applyProtection="0">
      <alignment horizontal="center" vertical="top" wrapText="1"/>
    </xf>
    <xf numFmtId="0" fontId="4" fillId="3" borderId="57" applyNumberFormat="0" applyFont="1" applyFill="1" applyBorder="1" applyAlignment="1" applyProtection="0">
      <alignment horizontal="right" vertical="top" wrapText="1"/>
    </xf>
    <xf numFmtId="59" fontId="0" fillId="3" borderId="9" applyNumberFormat="1" applyFont="1" applyFill="1" applyBorder="1" applyAlignment="1" applyProtection="0">
      <alignment vertical="top" wrapText="1"/>
    </xf>
    <xf numFmtId="59" fontId="4" fillId="3" borderId="43" applyNumberFormat="1" applyFont="1" applyFill="1" applyBorder="1" applyAlignment="1" applyProtection="0">
      <alignment horizontal="center" vertical="top" wrapText="1"/>
    </xf>
    <xf numFmtId="59" fontId="4" fillId="3" borderId="44" applyNumberFormat="1" applyFont="1" applyFill="1" applyBorder="1" applyAlignment="1" applyProtection="0">
      <alignment horizontal="center" vertical="top" wrapText="1"/>
    </xf>
    <xf numFmtId="49" fontId="3" fillId="2" borderId="8" applyNumberFormat="1" applyFont="1" applyFill="1" applyBorder="1" applyAlignment="1" applyProtection="0">
      <alignment horizontal="left" vertical="top"/>
    </xf>
    <xf numFmtId="0" fontId="4" fillId="2" borderId="9" applyNumberFormat="0" applyFont="1" applyFill="1" applyBorder="1" applyAlignment="1" applyProtection="0">
      <alignment horizontal="center" vertical="top" wrapText="1"/>
    </xf>
    <xf numFmtId="0" fontId="4" fillId="2" borderId="28" applyNumberFormat="0" applyFont="1" applyFill="1" applyBorder="1" applyAlignment="1" applyProtection="0">
      <alignment horizontal="center" vertical="top" wrapText="1"/>
    </xf>
    <xf numFmtId="0" fontId="4" fillId="3" borderId="6" applyNumberFormat="0" applyFont="1" applyFill="1" applyBorder="1" applyAlignment="1" applyProtection="0">
      <alignment horizontal="center" vertical="top" wrapText="1"/>
    </xf>
    <xf numFmtId="49" fontId="4" fillId="3" borderId="55" applyNumberFormat="1" applyFont="1" applyFill="1" applyBorder="1" applyAlignment="1" applyProtection="0">
      <alignment horizontal="center" vertical="top" wrapText="1"/>
    </xf>
    <xf numFmtId="49" fontId="4" fillId="3" borderId="7" applyNumberFormat="1" applyFont="1" applyFill="1" applyBorder="1" applyAlignment="1" applyProtection="0">
      <alignment horizontal="center" vertical="top" wrapText="1"/>
    </xf>
    <xf numFmtId="0" fontId="0" fillId="7" borderId="58" applyNumberFormat="0" applyFont="1" applyFill="1" applyBorder="1" applyAlignment="1" applyProtection="0">
      <alignment vertical="top" wrapText="1"/>
    </xf>
    <xf numFmtId="0" fontId="0" fillId="7" borderId="41" applyNumberFormat="0" applyFont="1" applyFill="1" applyBorder="1" applyAlignment="1" applyProtection="0">
      <alignment vertical="top" wrapText="1"/>
    </xf>
    <xf numFmtId="0" fontId="0" fillId="7" borderId="42" applyNumberFormat="0" applyFont="1" applyFill="1" applyBorder="1" applyAlignment="1" applyProtection="0">
      <alignment vertical="top" wrapText="1"/>
    </xf>
    <xf numFmtId="49" fontId="3" fillId="2" borderId="50" applyNumberFormat="1" applyFont="1" applyFill="1" applyBorder="1" applyAlignment="1" applyProtection="0">
      <alignment horizontal="left" vertical="top" wrapText="1"/>
    </xf>
    <xf numFmtId="0" fontId="0" fillId="2" borderId="41" applyNumberFormat="0" applyFont="1" applyFill="1" applyBorder="1" applyAlignment="1" applyProtection="0">
      <alignment vertical="top" wrapText="1"/>
    </xf>
    <xf numFmtId="0" fontId="0" fillId="2" borderId="52" applyNumberFormat="0" applyFont="1" applyFill="1" applyBorder="1" applyAlignment="1" applyProtection="0">
      <alignment vertical="top" wrapText="1"/>
    </xf>
    <xf numFmtId="49" fontId="4" fillId="3" borderId="59" applyNumberFormat="1" applyFont="1" applyFill="1" applyBorder="1" applyAlignment="1" applyProtection="0">
      <alignment horizontal="left" vertical="top" wrapText="1"/>
    </xf>
    <xf numFmtId="49" fontId="4" fillId="3" borderId="43" applyNumberFormat="1" applyFont="1" applyFill="1" applyBorder="1" applyAlignment="1" applyProtection="0">
      <alignment horizontal="left" vertical="top"/>
    </xf>
    <xf numFmtId="0" fontId="0" fillId="7" borderId="43" applyNumberFormat="0" applyFont="1" applyFill="1" applyBorder="1" applyAlignment="1" applyProtection="0">
      <alignment vertical="top" wrapText="1"/>
    </xf>
    <xf numFmtId="0" fontId="0" fillId="7" borderId="60" applyNumberFormat="0" applyFont="1" applyFill="1" applyBorder="1" applyAlignment="1" applyProtection="0">
      <alignment vertical="top" wrapText="1"/>
    </xf>
    <xf numFmtId="49" fontId="4" fillId="3" borderId="9" applyNumberFormat="1" applyFont="1" applyFill="1" applyBorder="1" applyAlignment="1" applyProtection="0">
      <alignment horizontal="left" vertical="top"/>
    </xf>
    <xf numFmtId="0" fontId="0" fillId="7" borderId="9" applyNumberFormat="0" applyFont="1" applyFill="1" applyBorder="1" applyAlignment="1" applyProtection="0">
      <alignment vertical="top" wrapText="1"/>
    </xf>
    <xf numFmtId="0" fontId="0" fillId="7" borderId="28" applyNumberFormat="0" applyFont="1" applyFill="1" applyBorder="1" applyAlignment="1" applyProtection="0">
      <alignment vertical="top" wrapText="1"/>
    </xf>
    <xf numFmtId="0" fontId="0" fillId="3" borderId="32" applyNumberFormat="0" applyFont="1" applyFill="1" applyBorder="1" applyAlignment="1" applyProtection="0">
      <alignment vertical="top" wrapText="1"/>
    </xf>
    <xf numFmtId="59" fontId="0" fillId="3" borderId="33" applyNumberFormat="1" applyFont="1" applyFill="1" applyBorder="1" applyAlignment="1" applyProtection="0">
      <alignment vertical="top" wrapText="1"/>
    </xf>
    <xf numFmtId="49" fontId="4" fillId="3" borderId="33" applyNumberFormat="1" applyFont="1" applyFill="1" applyBorder="1" applyAlignment="1" applyProtection="0">
      <alignment horizontal="left" vertical="top"/>
    </xf>
    <xf numFmtId="0" fontId="0" fillId="7" borderId="33" applyNumberFormat="0" applyFont="1" applyFill="1" applyBorder="1" applyAlignment="1" applyProtection="0">
      <alignment vertical="top" wrapText="1"/>
    </xf>
    <xf numFmtId="0" fontId="0" fillId="7" borderId="40" applyNumberFormat="0" applyFont="1" applyFill="1" applyBorder="1" applyAlignment="1" applyProtection="0">
      <alignment vertical="top" wrapText="1"/>
    </xf>
    <xf numFmtId="0" fontId="0" applyNumberFormat="1" applyFont="1" applyFill="0" applyBorder="0" applyAlignment="1" applyProtection="0">
      <alignment vertical="top" wrapText="1"/>
    </xf>
    <xf numFmtId="59" fontId="4" fillId="3" borderId="9" applyNumberFormat="1" applyFont="1" applyFill="1" applyBorder="1" applyAlignment="1" applyProtection="0">
      <alignment horizontal="left" vertical="top"/>
    </xf>
    <xf numFmtId="59" fontId="7" fillId="3" borderId="9" applyNumberFormat="1" applyFont="1" applyFill="1" applyBorder="1" applyAlignment="1" applyProtection="0">
      <alignment horizontal="center" vertical="top"/>
    </xf>
    <xf numFmtId="1" fontId="7" fillId="3" borderId="9" applyNumberFormat="1" applyFont="1" applyFill="1" applyBorder="1" applyAlignment="1" applyProtection="0">
      <alignment horizontal="center" vertical="top"/>
    </xf>
    <xf numFmtId="0" fontId="0" applyNumberFormat="1" applyFont="1" applyFill="0" applyBorder="0" applyAlignment="1" applyProtection="0">
      <alignment vertical="top" wrapText="1"/>
    </xf>
    <xf numFmtId="0" fontId="0" fillId="3" borderId="41" applyNumberFormat="0" applyFont="1" applyFill="1" applyBorder="1" applyAlignment="1" applyProtection="0">
      <alignment vertical="top" wrapText="1"/>
    </xf>
    <xf numFmtId="0" fontId="0" fillId="2" borderId="42" applyNumberFormat="0" applyFont="1" applyFill="1" applyBorder="1" applyAlignment="1" applyProtection="0">
      <alignment vertical="top" wrapText="1"/>
    </xf>
    <xf numFmtId="0" fontId="0" fillId="3" borderId="58" applyNumberFormat="0" applyFont="1" applyFill="1" applyBorder="1" applyAlignment="1" applyProtection="0">
      <alignment vertical="top" wrapText="1"/>
    </xf>
    <xf numFmtId="0" fontId="0" fillId="3" borderId="42" applyNumberFormat="0" applyFont="1" applyFill="1" applyBorder="1" applyAlignment="1" applyProtection="0">
      <alignment vertical="top" wrapText="1"/>
    </xf>
    <xf numFmtId="49" fontId="4" fillId="4" borderId="1" applyNumberFormat="1" applyFont="1" applyFill="1" applyBorder="1" applyAlignment="1" applyProtection="0">
      <alignment horizontal="right" vertical="top" wrapText="1"/>
    </xf>
    <xf numFmtId="0" fontId="0" fillId="3" borderId="54" applyNumberFormat="0" applyFont="1" applyFill="1" applyBorder="1" applyAlignment="1" applyProtection="0">
      <alignment vertical="top" wrapText="1"/>
    </xf>
    <xf numFmtId="49" fontId="0" fillId="4" borderId="54" applyNumberFormat="1" applyFont="1" applyFill="1" applyBorder="1" applyAlignment="1" applyProtection="0">
      <alignment vertical="top" wrapText="1"/>
    </xf>
    <xf numFmtId="49" fontId="0" fillId="4" borderId="2" applyNumberFormat="1" applyFont="1" applyFill="1" applyBorder="1" applyAlignment="1" applyProtection="0">
      <alignment vertical="top" wrapText="1"/>
    </xf>
    <xf numFmtId="49" fontId="0" fillId="3" borderId="6" applyNumberFormat="1" applyFont="1" applyFill="1" applyBorder="1" applyAlignment="1" applyProtection="0">
      <alignment vertical="top" wrapText="1"/>
    </xf>
    <xf numFmtId="2" fontId="0" fillId="3" borderId="55" applyNumberFormat="1" applyFont="1" applyFill="1" applyBorder="1" applyAlignment="1" applyProtection="0">
      <alignment vertical="top" wrapText="1"/>
    </xf>
    <xf numFmtId="2" fontId="0" fillId="3" borderId="7" applyNumberFormat="1" applyFont="1" applyFill="1" applyBorder="1" applyAlignment="1" applyProtection="0">
      <alignment vertical="top" wrapText="1"/>
    </xf>
    <xf numFmtId="49" fontId="0" fillId="3" borderId="55" applyNumberFormat="1" applyFont="1" applyFill="1" applyBorder="1" applyAlignment="1" applyProtection="0">
      <alignment vertical="top" wrapText="1"/>
    </xf>
    <xf numFmtId="49" fontId="11" fillId="4" borderId="11" applyNumberFormat="1" applyFont="1" applyFill="1" applyBorder="1" applyAlignment="1" applyProtection="0">
      <alignment horizontal="right" vertical="top" wrapText="1"/>
    </xf>
    <xf numFmtId="2" fontId="11" fillId="3" borderId="56" applyNumberFormat="1" applyFont="1" applyFill="1" applyBorder="1" applyAlignment="1" applyProtection="0">
      <alignment horizontal="center" vertical="top" wrapText="1"/>
    </xf>
    <xf numFmtId="2" fontId="11" fillId="3" borderId="12" applyNumberFormat="1" applyFont="1" applyFill="1" applyBorder="1" applyAlignment="1" applyProtection="0">
      <alignment horizontal="center" vertical="top" wrapText="1"/>
    </xf>
    <xf numFmtId="2" fontId="0" fillId="3" borderId="41" applyNumberFormat="1" applyFont="1" applyFill="1" applyBorder="1" applyAlignment="1" applyProtection="0">
      <alignment vertical="top" wrapText="1"/>
    </xf>
    <xf numFmtId="49" fontId="4" fillId="4" borderId="54" applyNumberFormat="1" applyFont="1" applyFill="1" applyBorder="1" applyAlignment="1" applyProtection="0">
      <alignment horizontal="right" vertical="top" wrapText="1"/>
    </xf>
    <xf numFmtId="0" fontId="0" fillId="3" borderId="55" applyNumberFormat="0" applyFont="1" applyFill="1" applyBorder="1" applyAlignment="1" applyProtection="0">
      <alignment vertical="top" wrapText="1"/>
    </xf>
    <xf numFmtId="49" fontId="4" fillId="4" borderId="11" applyNumberFormat="1" applyFont="1" applyFill="1" applyBorder="1" applyAlignment="1" applyProtection="0">
      <alignment horizontal="right" vertical="top" wrapText="1"/>
    </xf>
    <xf numFmtId="0" fontId="0" fillId="3" borderId="43" applyNumberFormat="0" applyFont="1" applyFill="1" applyBorder="1" applyAlignment="1" applyProtection="0">
      <alignment vertical="top" wrapText="1"/>
    </xf>
    <xf numFmtId="0" fontId="0" fillId="3" borderId="44" applyNumberFormat="0" applyFont="1" applyFill="1" applyBorder="1" applyAlignment="1" applyProtection="0">
      <alignment vertical="top" wrapText="1"/>
    </xf>
    <xf numFmtId="0" fontId="0" fillId="7" borderId="8" applyNumberFormat="0" applyFont="1" applyFill="1" applyBorder="1" applyAlignment="1" applyProtection="0">
      <alignment vertical="top" wrapText="1"/>
    </xf>
    <xf numFmtId="0" fontId="0" fillId="7" borderId="10" applyNumberFormat="0" applyFont="1" applyFill="1" applyBorder="1" applyAlignment="1" applyProtection="0">
      <alignment vertical="top" wrapText="1"/>
    </xf>
    <xf numFmtId="49" fontId="0" fillId="4" borderId="61" applyNumberFormat="1" applyFont="1" applyFill="1" applyBorder="1" applyAlignment="1" applyProtection="0">
      <alignment vertical="top" wrapText="1"/>
    </xf>
    <xf numFmtId="0" fontId="0" fillId="3" borderId="62" applyNumberFormat="0" applyFont="1" applyFill="1" applyBorder="1" applyAlignment="1" applyProtection="0">
      <alignment vertical="top" wrapText="1"/>
    </xf>
    <xf numFmtId="2" fontId="12" fillId="3" borderId="63" applyNumberFormat="1" applyFont="1" applyFill="1" applyBorder="1" applyAlignment="1" applyProtection="0">
      <alignment horizontal="center" vertical="top" wrapText="1"/>
    </xf>
    <xf numFmtId="0" fontId="0" fillId="7" borderId="64" applyNumberFormat="0" applyFont="1" applyFill="1" applyBorder="1" applyAlignment="1" applyProtection="0">
      <alignment vertical="top" wrapText="1"/>
    </xf>
    <xf numFmtId="0" fontId="0" fillId="7" borderId="24" applyNumberFormat="0" applyFont="1" applyFill="1" applyBorder="1" applyAlignment="1" applyProtection="0">
      <alignment vertical="top" wrapText="1"/>
    </xf>
    <xf numFmtId="49" fontId="0" fillId="4" borderId="65" applyNumberFormat="1" applyFont="1" applyFill="1" applyBorder="1" applyAlignment="1" applyProtection="0">
      <alignment vertical="top" wrapText="1"/>
    </xf>
    <xf numFmtId="0" fontId="0" fillId="7" borderId="66" applyNumberFormat="0" applyFont="1" applyFill="1" applyBorder="1" applyAlignment="1" applyProtection="0">
      <alignment vertical="top" wrapText="1"/>
    </xf>
    <xf numFmtId="49" fontId="4" fillId="4" borderId="1" applyNumberFormat="1" applyFont="1" applyFill="1" applyBorder="1" applyAlignment="1" applyProtection="0">
      <alignment horizontal="left" vertical="top"/>
    </xf>
    <xf numFmtId="0" fontId="4" fillId="4" borderId="54" applyNumberFormat="0" applyFont="1" applyFill="1" applyBorder="1" applyAlignment="1" applyProtection="0">
      <alignment horizontal="left" vertical="top"/>
    </xf>
    <xf numFmtId="49" fontId="4" fillId="3" borderId="67" applyNumberFormat="1" applyFont="1" applyFill="1" applyBorder="1" applyAlignment="1" applyProtection="0">
      <alignment horizontal="left" vertical="top"/>
    </xf>
    <xf numFmtId="2" fontId="0" fillId="3" borderId="43" applyNumberFormat="1" applyFont="1" applyFill="1" applyBorder="1" applyAlignment="1" applyProtection="0">
      <alignment vertical="top" wrapText="1"/>
    </xf>
    <xf numFmtId="2" fontId="0" fillId="3" borderId="68" applyNumberFormat="1" applyFont="1" applyFill="1" applyBorder="1" applyAlignment="1" applyProtection="0">
      <alignment vertical="top" wrapText="1"/>
    </xf>
    <xf numFmtId="49" fontId="4" fillId="4" borderId="6" applyNumberFormat="1" applyFont="1" applyFill="1" applyBorder="1" applyAlignment="1" applyProtection="0">
      <alignment horizontal="left" vertical="top"/>
    </xf>
    <xf numFmtId="0" fontId="4" fillId="4" borderId="55" applyNumberFormat="0" applyFont="1" applyFill="1" applyBorder="1" applyAlignment="1" applyProtection="0">
      <alignment horizontal="left" vertical="top"/>
    </xf>
    <xf numFmtId="49" fontId="4" fillId="3" borderId="69" applyNumberFormat="1" applyFont="1" applyFill="1" applyBorder="1" applyAlignment="1" applyProtection="0">
      <alignment horizontal="left" vertical="top"/>
    </xf>
    <xf numFmtId="2" fontId="0" fillId="3" borderId="9" applyNumberFormat="1" applyFont="1" applyFill="1" applyBorder="1" applyAlignment="1" applyProtection="0">
      <alignment vertical="top" wrapText="1"/>
    </xf>
    <xf numFmtId="49" fontId="4" fillId="4" borderId="70" applyNumberFormat="1" applyFont="1" applyFill="1" applyBorder="1" applyAlignment="1" applyProtection="0">
      <alignment horizontal="left" vertical="top"/>
    </xf>
    <xf numFmtId="0" fontId="4" fillId="4" borderId="71" applyNumberFormat="0" applyFont="1" applyFill="1" applyBorder="1" applyAlignment="1" applyProtection="0">
      <alignment horizontal="left" vertical="top"/>
    </xf>
    <xf numFmtId="49" fontId="4" fillId="3" borderId="72" applyNumberFormat="1" applyFont="1" applyFill="1" applyBorder="1" applyAlignment="1" applyProtection="0">
      <alignment horizontal="left" vertical="top"/>
    </xf>
    <xf numFmtId="2" fontId="0" fillId="3" borderId="33" applyNumberFormat="1" applyFont="1" applyFill="1" applyBorder="1" applyAlignment="1" applyProtection="0">
      <alignment vertical="top" wrapText="1"/>
    </xf>
    <xf numFmtId="0" fontId="0" fillId="7" borderId="73" applyNumberFormat="0" applyFont="1" applyFill="1" applyBorder="1" applyAlignment="1" applyProtection="0">
      <alignment vertical="top" wrapText="1"/>
    </xf>
    <xf numFmtId="0" fontId="0" fillId="7" borderId="74" applyNumberFormat="0" applyFont="1" applyFill="1" applyBorder="1" applyAlignment="1" applyProtection="0">
      <alignment vertical="top" wrapText="1"/>
    </xf>
    <xf numFmtId="0" fontId="0" fillId="7" borderId="44" applyNumberFormat="0" applyFont="1" applyFill="1" applyBorder="1" applyAlignment="1" applyProtection="0">
      <alignment vertical="top" wrapText="1"/>
    </xf>
    <xf numFmtId="49" fontId="0" fillId="4" borderId="11" applyNumberFormat="1" applyFont="1" applyFill="1" applyBorder="1" applyAlignment="1" applyProtection="0">
      <alignment vertical="top" wrapText="1"/>
    </xf>
    <xf numFmtId="0" fontId="0" fillId="3" borderId="56" applyNumberFormat="0" applyFont="1" applyFill="1" applyBorder="1" applyAlignment="1" applyProtection="0">
      <alignment vertical="top" wrapText="1"/>
    </xf>
    <xf numFmtId="2" fontId="11" fillId="3" borderId="75" applyNumberFormat="1" applyFont="1" applyFill="1" applyBorder="1" applyAlignment="1" applyProtection="0">
      <alignment horizontal="center" vertical="top" wrapText="1"/>
    </xf>
    <xf numFmtId="0" fontId="0" fillId="7" borderId="76" applyNumberFormat="0" applyFont="1" applyFill="1" applyBorder="1" applyAlignment="1" applyProtection="0">
      <alignment vertical="top" wrapText="1"/>
    </xf>
    <xf numFmtId="0" fontId="0" fillId="7" borderId="14" applyNumberFormat="0" applyFont="1" applyFill="1" applyBorder="1" applyAlignment="1" applyProtection="0">
      <alignment vertical="top" wrapText="1"/>
    </xf>
    <xf numFmtId="0" fontId="0" fillId="7" borderId="15" applyNumberFormat="0" applyFont="1" applyFill="1" applyBorder="1" applyAlignment="1" applyProtection="0">
      <alignment vertical="top" wrapText="1"/>
    </xf>
  </cellXfs>
  <cellStyles count="1">
    <cellStyle name="Normal" xfId="0" builtinId="0"/>
  </cellStyles>
  <dxfs count="4">
    <dxf>
      <font>
        <color rgb="fffeffff"/>
      </font>
      <fill>
        <patternFill patternType="solid">
          <fgColor indexed="18"/>
          <bgColor indexed="19"/>
        </patternFill>
      </fill>
    </dxf>
    <dxf>
      <font>
        <color rgb="fffeffff"/>
      </font>
      <fill>
        <patternFill patternType="solid">
          <fgColor indexed="18"/>
          <bgColor indexed="19"/>
        </patternFill>
      </fill>
    </dxf>
    <dxf>
      <font>
        <color rgb="fffeffff"/>
      </font>
      <fill>
        <patternFill patternType="solid">
          <fgColor indexed="18"/>
          <bgColor indexed="19"/>
        </patternFill>
      </fill>
    </dxf>
    <dxf>
      <font>
        <color rgb="fffeffff"/>
      </font>
      <fill>
        <patternFill patternType="solid">
          <fgColor indexed="18"/>
          <bgColor indexed="19"/>
        </patternFill>
      </fill>
    </dxf>
  </dxfs>
  <tableStyles count="0"/>
  <colors>
    <indexedColors>
      <rgbColor rgb="ff000000"/>
      <rgbColor rgb="ffffffff"/>
      <rgbColor rgb="ffff0000"/>
      <rgbColor rgb="ff00ff00"/>
      <rgbColor rgb="ff0000ff"/>
      <rgbColor rgb="ffffff00"/>
      <rgbColor rgb="ffff00ff"/>
      <rgbColor rgb="ff00ffff"/>
      <rgbColor rgb="ff000000"/>
      <rgbColor rgb="fffeffff"/>
      <rgbColor rgb="ff004456"/>
      <rgbColor rgb="ffa5a5a5"/>
      <rgbColor rgb="ffffffff"/>
      <rgbColor rgb="ffaaaaaa"/>
      <rgbColor rgb="ffb9ccd2"/>
      <rgbColor rgb="ff004455"/>
      <rgbColor rgb="ffff2600"/>
      <rgbColor rgb="ffd8222a"/>
      <rgbColor rgb="00000000"/>
      <rgbColor rgb="ffed220b"/>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A7A7A7"/>
      </a:dk2>
      <a:lt2>
        <a:srgbClr val="535353"/>
      </a:lt2>
      <a:accent1>
        <a:srgbClr val="00A2FF"/>
      </a:accent1>
      <a:accent2>
        <a:srgbClr val="16E7CF"/>
      </a:accent2>
      <a:accent3>
        <a:srgbClr val="61D836"/>
      </a:accent3>
      <a:accent4>
        <a:srgbClr val="FAE232"/>
      </a:accent4>
      <a:accent5>
        <a:srgbClr val="FF644E"/>
      </a:accent5>
      <a:accent6>
        <a:srgbClr val="EF5FA7"/>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50800" tIns="50800" rIns="50800" bIns="50800"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hyperlink" Target="https://physicstoday.scitation.org/do/10.1063/PT.6.3.20190312a/full/" TargetMode="External"/><Relationship Id="rId2" Type="http://schemas.openxmlformats.org/officeDocument/2006/relationships/hyperlink" Target="https://www.wolframalpha.com/input/?i=+distance+from+neptune+to+pluto+01/07/2350" TargetMode="External"/><Relationship Id="rId3" Type="http://schemas.openxmlformats.org/officeDocument/2006/relationships/hyperlink" Target="http://iandrea.co.uk" TargetMode="External"/></Relationships>

</file>

<file path=xl/worksheets/_rels/sheet3.xml.rels><?xml version="1.0" encoding="UTF-8"?>
<Relationships xmlns="http://schemas.openxmlformats.org/package/2006/relationships"><Relationship Id="rId1" Type="http://schemas.openxmlformats.org/officeDocument/2006/relationships/hyperlink" Target="https://physicstoday.scitation.org/do/10.1063/PT.6.3.20190312a/full/" TargetMode="External"/><Relationship Id="rId2" Type="http://schemas.openxmlformats.org/officeDocument/2006/relationships/hyperlink" Target="https://keisan.casio.com/exec/system/1180573458" TargetMode="External"/><Relationship Id="rId3" Type="http://schemas.openxmlformats.org/officeDocument/2006/relationships/hyperlink" Target="https://www.wolframalpha.com/input/?i=+distance+from+earth+to+mars+15/8/2215" TargetMode="External"/><Relationship Id="rId4" Type="http://schemas.openxmlformats.org/officeDocument/2006/relationships/hyperlink" Target="https://scifi.stackexchange.com/questions/156761/when-does-the-expanse-take-place" TargetMode="External"/></Relationships>

</file>

<file path=xl/worksheets/_rels/sheet5.xml.rels><?xml version="1.0" encoding="UTF-8"?>
<Relationships xmlns="http://schemas.openxmlformats.org/package/2006/relationships"><Relationship Id="rId1" Type="http://schemas.openxmlformats.org/officeDocument/2006/relationships/hyperlink" Target="http://cosinekitty.com/solar_system.html" TargetMode="External"/><Relationship Id="rId2" Type="http://schemas.openxmlformats.org/officeDocument/2006/relationships/hyperlink" Target="http://iandrea.co.uk" TargetMode="External"/></Relationships>

</file>

<file path=xl/worksheets/sheet1.xml><?xml version="1.0" encoding="utf-8"?>
<worksheet xmlns:r="http://schemas.openxmlformats.org/officeDocument/2006/relationships" xmlns="http://schemas.openxmlformats.org/spreadsheetml/2006/main">
  <sheetPr>
    <pageSetUpPr fitToPage="1"/>
  </sheetPr>
  <dimension ref="A1:E20"/>
  <sheetViews>
    <sheetView workbookViewId="0" showGridLines="0" defaultGridColor="1"/>
  </sheetViews>
  <sheetFormatPr defaultColWidth="16.3333" defaultRowHeight="19.9" customHeight="1" outlineLevelRow="0" outlineLevelCol="0"/>
  <cols>
    <col min="1" max="1" width="16.1719" style="1" customWidth="1"/>
    <col min="2" max="2" width="99.6719" style="1" customWidth="1"/>
    <col min="3" max="5" width="16.3516" style="1" customWidth="1"/>
    <col min="6" max="16384" width="16.3516" style="1" customWidth="1"/>
  </cols>
  <sheetData>
    <row r="1" ht="20" customHeight="1">
      <c r="A1" t="s" s="2">
        <v>0</v>
      </c>
      <c r="B1" s="3"/>
      <c r="C1" s="4"/>
      <c r="D1" s="5"/>
      <c r="E1" s="6"/>
    </row>
    <row r="2" ht="63" customHeight="1">
      <c r="A2" t="s" s="7">
        <v>1</v>
      </c>
      <c r="B2" t="s" s="8">
        <v>2</v>
      </c>
      <c r="C2" s="9"/>
      <c r="D2" s="10"/>
      <c r="E2" s="11"/>
    </row>
    <row r="3" ht="30" customHeight="1">
      <c r="A3" t="s" s="12">
        <v>3</v>
      </c>
      <c r="B3" t="s" s="13">
        <v>4</v>
      </c>
      <c r="C3" s="9"/>
      <c r="D3" s="10"/>
      <c r="E3" s="11"/>
    </row>
    <row r="4" ht="41" customHeight="1">
      <c r="A4" t="s" s="7">
        <v>5</v>
      </c>
      <c r="B4" t="s" s="8">
        <v>6</v>
      </c>
      <c r="C4" s="9"/>
      <c r="D4" s="10"/>
      <c r="E4" s="11"/>
    </row>
    <row r="5" ht="74" customHeight="1">
      <c r="A5" t="s" s="12">
        <v>7</v>
      </c>
      <c r="B5" t="s" s="13">
        <v>8</v>
      </c>
      <c r="C5" s="9"/>
      <c r="D5" s="10"/>
      <c r="E5" s="11"/>
    </row>
    <row r="6" ht="41" customHeight="1">
      <c r="A6" t="s" s="7">
        <v>9</v>
      </c>
      <c r="B6" t="s" s="8">
        <v>10</v>
      </c>
      <c r="C6" s="9"/>
      <c r="D6" s="10"/>
      <c r="E6" s="11"/>
    </row>
    <row r="7" ht="52" customHeight="1">
      <c r="A7" t="s" s="12">
        <v>11</v>
      </c>
      <c r="B7" t="s" s="13">
        <v>12</v>
      </c>
      <c r="C7" s="9"/>
      <c r="D7" s="10"/>
      <c r="E7" s="11"/>
    </row>
    <row r="8" ht="63" customHeight="1">
      <c r="A8" t="s" s="7">
        <v>13</v>
      </c>
      <c r="B8" t="s" s="8">
        <v>14</v>
      </c>
      <c r="C8" s="9"/>
      <c r="D8" s="10"/>
      <c r="E8" s="11"/>
    </row>
    <row r="9" ht="30" customHeight="1">
      <c r="A9" t="s" s="12">
        <v>15</v>
      </c>
      <c r="B9" t="s" s="13">
        <v>16</v>
      </c>
      <c r="C9" s="9"/>
      <c r="D9" s="10"/>
      <c r="E9" s="11"/>
    </row>
    <row r="10" ht="30" customHeight="1">
      <c r="A10" t="s" s="7">
        <v>17</v>
      </c>
      <c r="B10" t="s" s="8">
        <v>18</v>
      </c>
      <c r="C10" s="9"/>
      <c r="D10" s="10"/>
      <c r="E10" s="11"/>
    </row>
    <row r="11" ht="41" customHeight="1">
      <c r="A11" t="s" s="12">
        <v>19</v>
      </c>
      <c r="B11" t="s" s="13">
        <v>20</v>
      </c>
      <c r="C11" s="9"/>
      <c r="D11" s="10"/>
      <c r="E11" s="11"/>
    </row>
    <row r="12" ht="30" customHeight="1">
      <c r="A12" s="14"/>
      <c r="B12" t="s" s="8">
        <v>21</v>
      </c>
      <c r="C12" s="9"/>
      <c r="D12" s="10"/>
      <c r="E12" s="11"/>
    </row>
    <row r="13" ht="30" customHeight="1">
      <c r="A13" s="15"/>
      <c r="B13" t="s" s="13">
        <v>22</v>
      </c>
      <c r="C13" s="9"/>
      <c r="D13" s="10"/>
      <c r="E13" s="11"/>
    </row>
    <row r="14" ht="74" customHeight="1">
      <c r="A14" t="s" s="7">
        <v>23</v>
      </c>
      <c r="B14" t="s" s="8">
        <v>24</v>
      </c>
      <c r="C14" s="9"/>
      <c r="D14" s="10"/>
      <c r="E14" s="11"/>
    </row>
    <row r="15" ht="74" customHeight="1">
      <c r="A15" s="15"/>
      <c r="B15" t="s" s="13">
        <v>25</v>
      </c>
      <c r="C15" s="9"/>
      <c r="D15" s="10"/>
      <c r="E15" s="11"/>
    </row>
    <row r="16" ht="41" customHeight="1">
      <c r="A16" s="14"/>
      <c r="B16" t="s" s="8">
        <v>26</v>
      </c>
      <c r="C16" s="9"/>
      <c r="D16" s="10"/>
      <c r="E16" s="11"/>
    </row>
    <row r="17" ht="30" customHeight="1">
      <c r="A17" t="s" s="12">
        <v>27</v>
      </c>
      <c r="B17" t="s" s="13">
        <v>28</v>
      </c>
      <c r="C17" s="9"/>
      <c r="D17" s="10"/>
      <c r="E17" s="11"/>
    </row>
    <row r="18" ht="19" customHeight="1">
      <c r="A18" t="s" s="7">
        <v>29</v>
      </c>
      <c r="B18" t="s" s="8">
        <v>30</v>
      </c>
      <c r="C18" s="9"/>
      <c r="D18" s="10"/>
      <c r="E18" s="11"/>
    </row>
    <row r="19" ht="30" customHeight="1">
      <c r="A19" t="s" s="12">
        <v>31</v>
      </c>
      <c r="B19" t="s" s="13">
        <v>32</v>
      </c>
      <c r="C19" s="9"/>
      <c r="D19" s="10"/>
      <c r="E19" s="11"/>
    </row>
    <row r="20" ht="31" customHeight="1">
      <c r="A20" t="s" s="16">
        <v>33</v>
      </c>
      <c r="B20" t="s" s="17">
        <v>34</v>
      </c>
      <c r="C20" s="18"/>
      <c r="D20" s="19"/>
      <c r="E20" s="20"/>
    </row>
  </sheetData>
  <mergeCells count="3">
    <mergeCell ref="A1:B1"/>
    <mergeCell ref="A11:A13"/>
    <mergeCell ref="A14:A16"/>
  </mergeCells>
  <hyperlinks>
    <hyperlink ref="B11" r:id="rId1" location="" tooltip="" display="How do these value compare with the rules?&#10;Distances are very different. This is a consequence of the arguments given in  https://physicstoday.scitation.org/do/10.1063/PT.6.3.20190312a/full/."/>
    <hyperlink ref="B13" r:id="rId2" location="" tooltip="" display="However, this (https://www.wolframalpha.com/input/?i=+distance+from+neptune+to+pluto+01%2F07%2F2350) would suggest that the distance then is about 33 au. "/>
    <hyperlink ref="B19" r:id="rId3" location="" tooltip="" display="Please email me at haywire at iandrea.co.uk"/>
  </hyperlink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sheetPr>
    <pageSetUpPr fitToPage="1"/>
  </sheetPr>
  <dimension ref="A1:O30"/>
  <sheetViews>
    <sheetView workbookViewId="0" showGridLines="0" defaultGridColor="1"/>
  </sheetViews>
  <sheetFormatPr defaultColWidth="16.3333" defaultRowHeight="19.9" customHeight="1" outlineLevelRow="0" outlineLevelCol="0"/>
  <cols>
    <col min="1" max="1" width="14" style="21" customWidth="1"/>
    <col min="2" max="2" width="7.85156" style="21" customWidth="1"/>
    <col min="3" max="3" width="9.35156" style="21" customWidth="1"/>
    <col min="4" max="4" width="4.35156" style="21" customWidth="1"/>
    <col min="5" max="7" width="9.35156" style="21" customWidth="1"/>
    <col min="8" max="8" width="4.35156" style="21" customWidth="1"/>
    <col min="9" max="11" width="9.35156" style="21" customWidth="1"/>
    <col min="12" max="12" width="3.5" style="21" customWidth="1"/>
    <col min="13" max="15" width="9.35156" style="21" customWidth="1"/>
    <col min="16" max="16384" width="16.3516" style="21" customWidth="1"/>
  </cols>
  <sheetData>
    <row r="1" ht="19" customHeight="1">
      <c r="A1" t="s" s="22">
        <v>35</v>
      </c>
      <c r="B1" s="23"/>
      <c r="C1" s="23"/>
      <c r="D1" s="23"/>
      <c r="E1" s="23"/>
      <c r="F1" s="23"/>
      <c r="G1" s="23"/>
      <c r="H1" s="23"/>
      <c r="I1" s="23"/>
      <c r="J1" s="23"/>
      <c r="K1" s="23"/>
      <c r="L1" s="23"/>
      <c r="M1" s="23"/>
      <c r="N1" s="23"/>
      <c r="O1" s="24"/>
    </row>
    <row r="2" ht="19.7" customHeight="1">
      <c r="A2" s="25"/>
      <c r="B2" s="26"/>
      <c r="C2" s="27"/>
      <c r="D2" s="28"/>
      <c r="E2" s="29"/>
      <c r="F2" s="26"/>
      <c r="G2" s="27"/>
      <c r="H2" s="28"/>
      <c r="I2" s="29"/>
      <c r="J2" s="26"/>
      <c r="K2" s="27"/>
      <c r="L2" s="28"/>
      <c r="M2" s="29"/>
      <c r="N2" s="26"/>
      <c r="O2" s="30"/>
    </row>
    <row r="3" ht="19.7" customHeight="1">
      <c r="A3" t="s" s="31">
        <v>36</v>
      </c>
      <c r="B3" s="32"/>
      <c r="C3" s="33"/>
      <c r="D3" s="34"/>
      <c r="E3" t="s" s="35">
        <v>37</v>
      </c>
      <c r="F3" s="32"/>
      <c r="G3" s="33"/>
      <c r="H3" s="36"/>
      <c r="I3" t="s" s="22">
        <v>38</v>
      </c>
      <c r="J3" s="37"/>
      <c r="K3" s="38"/>
      <c r="L3" s="39"/>
      <c r="M3" t="s" s="22">
        <v>39</v>
      </c>
      <c r="N3" s="37"/>
      <c r="O3" s="38"/>
    </row>
    <row r="4" ht="19.7" customHeight="1">
      <c r="A4" t="s" s="40">
        <v>40</v>
      </c>
      <c r="B4" s="41"/>
      <c r="C4" s="42"/>
      <c r="D4" s="34"/>
      <c r="E4" t="s" s="40">
        <v>41</v>
      </c>
      <c r="F4" s="41"/>
      <c r="G4" s="42"/>
      <c r="H4" s="34"/>
      <c r="I4" t="s" s="43">
        <v>42</v>
      </c>
      <c r="J4" s="44"/>
      <c r="K4" s="45"/>
      <c r="L4" s="34"/>
      <c r="M4" t="s" s="46">
        <v>43</v>
      </c>
      <c r="N4" s="47">
        <v>0.25</v>
      </c>
      <c r="O4" t="s" s="48">
        <v>44</v>
      </c>
    </row>
    <row r="5" ht="19.7" customHeight="1">
      <c r="A5" t="s" s="49">
        <v>45</v>
      </c>
      <c r="B5" s="50"/>
      <c r="C5" s="51"/>
      <c r="D5" s="34"/>
      <c r="E5" t="s" s="52">
        <v>45</v>
      </c>
      <c r="F5" s="50"/>
      <c r="G5" s="51"/>
      <c r="H5" s="34"/>
      <c r="I5" t="s" s="52">
        <v>45</v>
      </c>
      <c r="J5" s="50"/>
      <c r="K5" s="51"/>
      <c r="L5" s="34"/>
      <c r="M5" t="s" s="53">
        <v>46</v>
      </c>
      <c r="N5" s="54">
        <v>21</v>
      </c>
      <c r="O5" t="s" s="55">
        <v>47</v>
      </c>
    </row>
    <row r="6" ht="20.7" customHeight="1">
      <c r="A6" t="s" s="56">
        <v>48</v>
      </c>
      <c r="B6" t="s" s="57">
        <v>49</v>
      </c>
      <c r="C6" s="42"/>
      <c r="D6" s="58"/>
      <c r="E6" s="9"/>
      <c r="F6" s="41"/>
      <c r="G6" s="42"/>
      <c r="H6" s="58"/>
      <c r="I6" s="9"/>
      <c r="J6" s="59"/>
      <c r="K6" s="60"/>
      <c r="L6" s="58"/>
      <c r="M6" t="s" s="61">
        <v>50</v>
      </c>
      <c r="N6" s="62">
        <f>N4*N5</f>
        <v>5.25</v>
      </c>
      <c r="O6" t="s" s="63">
        <v>51</v>
      </c>
    </row>
    <row r="7" ht="20.7" customHeight="1">
      <c r="A7" t="s" s="56">
        <v>52</v>
      </c>
      <c r="B7" t="s" s="57">
        <v>53</v>
      </c>
      <c r="C7" s="42"/>
      <c r="D7" s="58"/>
      <c r="E7" s="9"/>
      <c r="F7" s="59"/>
      <c r="G7" s="60"/>
      <c r="H7" s="58"/>
      <c r="I7" s="9"/>
      <c r="J7" s="59"/>
      <c r="K7" s="60"/>
      <c r="L7" s="64"/>
      <c r="M7" s="65"/>
      <c r="N7" s="66"/>
      <c r="O7" s="67"/>
    </row>
    <row r="8" ht="8" customHeight="1" hidden="1">
      <c r="A8" t="s" s="68">
        <v>54</v>
      </c>
      <c r="B8" s="69">
        <f>VLOOKUP(B6,'Distances (average)'!$A2:$B17,2,FALSE)</f>
        <v>4</v>
      </c>
      <c r="C8" s="70"/>
      <c r="D8" s="71"/>
      <c r="E8" s="9"/>
      <c r="F8" s="10"/>
      <c r="G8" s="60"/>
      <c r="H8" s="71"/>
      <c r="I8" s="9"/>
      <c r="J8" s="10"/>
      <c r="K8" s="60"/>
      <c r="L8" s="71"/>
      <c r="M8" s="72"/>
      <c r="N8" s="73"/>
      <c r="O8" s="74"/>
    </row>
    <row r="9" ht="8" customHeight="1" hidden="1">
      <c r="A9" t="s" s="68">
        <v>55</v>
      </c>
      <c r="B9" s="69">
        <f>HLOOKUP(B7,'Distances (average)'!C$2:P$3,2,FALSE)</f>
        <v>13</v>
      </c>
      <c r="C9" s="70"/>
      <c r="D9" s="71"/>
      <c r="E9" s="9"/>
      <c r="F9" s="10"/>
      <c r="G9" s="60"/>
      <c r="H9" s="71"/>
      <c r="I9" s="9"/>
      <c r="J9" s="10"/>
      <c r="K9" s="60"/>
      <c r="L9" s="71"/>
      <c r="M9" s="72"/>
      <c r="N9" s="73"/>
      <c r="O9" s="74"/>
    </row>
    <row r="10" ht="19.7" customHeight="1">
      <c r="A10" t="s" s="56">
        <v>56</v>
      </c>
      <c r="B10" s="75">
        <f>INDEX('Distances (average)'!C4:P17,B8,B9)</f>
        <v>30.056</v>
      </c>
      <c r="C10" t="s" s="76">
        <v>57</v>
      </c>
      <c r="D10" s="77"/>
      <c r="E10" t="s" s="78">
        <v>56</v>
      </c>
      <c r="F10" s="79">
        <v>30.06</v>
      </c>
      <c r="G10" t="s" s="76">
        <v>57</v>
      </c>
      <c r="H10" s="77"/>
      <c r="I10" t="s" s="78">
        <v>56</v>
      </c>
      <c r="J10" s="79">
        <v>30.06</v>
      </c>
      <c r="K10" t="s" s="76">
        <v>57</v>
      </c>
      <c r="L10" s="80"/>
      <c r="M10" t="s" s="22">
        <v>58</v>
      </c>
      <c r="N10" s="37"/>
      <c r="O10" s="38"/>
    </row>
    <row r="11" ht="19.7" customHeight="1">
      <c r="A11" t="s" s="56">
        <v>56</v>
      </c>
      <c r="B11" s="75">
        <f>B10*"1.496E11"/"3E8"/60</f>
        <v>249.798755555556</v>
      </c>
      <c r="C11" t="s" s="76">
        <v>59</v>
      </c>
      <c r="D11" s="77"/>
      <c r="E11" t="s" s="78">
        <v>56</v>
      </c>
      <c r="F11" s="75">
        <f>F10*"1.496E11"/"3E8"/60</f>
        <v>249.832</v>
      </c>
      <c r="G11" t="s" s="76">
        <v>59</v>
      </c>
      <c r="H11" s="77"/>
      <c r="I11" t="s" s="78">
        <v>56</v>
      </c>
      <c r="J11" s="75">
        <f>J10*"1.496E11"/"3E8"/60</f>
        <v>249.832</v>
      </c>
      <c r="K11" t="s" s="76">
        <v>59</v>
      </c>
      <c r="L11" s="77"/>
      <c r="M11" t="s" s="43">
        <v>60</v>
      </c>
      <c r="N11" s="81"/>
      <c r="O11" s="82"/>
    </row>
    <row r="12" ht="19.7" customHeight="1">
      <c r="A12" t="s" s="49">
        <v>61</v>
      </c>
      <c r="B12" s="50"/>
      <c r="C12" s="51"/>
      <c r="D12" s="34"/>
      <c r="E12" t="s" s="52">
        <v>61</v>
      </c>
      <c r="F12" s="50"/>
      <c r="G12" s="51"/>
      <c r="H12" s="34"/>
      <c r="I12" t="s" s="52">
        <v>61</v>
      </c>
      <c r="J12" s="50"/>
      <c r="K12" s="51"/>
      <c r="L12" s="34"/>
      <c r="M12" t="s" s="40">
        <v>62</v>
      </c>
      <c r="N12" s="83"/>
      <c r="O12" s="84"/>
    </row>
    <row r="13" ht="19" customHeight="1">
      <c r="A13" t="s" s="56">
        <v>63</v>
      </c>
      <c r="B13" s="85">
        <v>0.3</v>
      </c>
      <c r="C13" t="s" s="76">
        <v>44</v>
      </c>
      <c r="D13" s="77"/>
      <c r="E13" t="s" s="78">
        <v>63</v>
      </c>
      <c r="F13" s="85">
        <v>0.3</v>
      </c>
      <c r="G13" t="s" s="76">
        <v>44</v>
      </c>
      <c r="H13" s="77"/>
      <c r="I13" t="s" s="78">
        <v>63</v>
      </c>
      <c r="J13" s="85">
        <v>0.3</v>
      </c>
      <c r="K13" t="s" s="76">
        <v>44</v>
      </c>
      <c r="L13" s="77"/>
      <c r="M13" t="s" s="86">
        <v>64</v>
      </c>
      <c r="N13" s="87"/>
      <c r="O13" s="88"/>
    </row>
    <row r="14" ht="20.7" customHeight="1">
      <c r="A14" t="s" s="56">
        <v>65</v>
      </c>
      <c r="B14" s="85">
        <v>5</v>
      </c>
      <c r="C14" t="s" s="76">
        <v>47</v>
      </c>
      <c r="D14" s="77"/>
      <c r="E14" t="s" s="78">
        <v>65</v>
      </c>
      <c r="F14" s="85">
        <v>14.3</v>
      </c>
      <c r="G14" t="s" s="76">
        <v>47</v>
      </c>
      <c r="H14" s="77"/>
      <c r="I14" s="9"/>
      <c r="J14" s="59"/>
      <c r="K14" s="60"/>
      <c r="L14" s="77"/>
      <c r="M14" t="s" s="89">
        <v>66</v>
      </c>
      <c r="N14" s="90"/>
      <c r="O14" s="91"/>
    </row>
    <row r="15" ht="10" customHeight="1" hidden="1">
      <c r="A15" t="s" s="92">
        <v>67</v>
      </c>
      <c r="B15" s="93"/>
      <c r="C15" s="51"/>
      <c r="D15" s="94"/>
      <c r="E15" t="s" s="95">
        <v>67</v>
      </c>
      <c r="F15" s="93"/>
      <c r="G15" s="51"/>
      <c r="H15" s="94"/>
      <c r="I15" t="s" s="95">
        <v>67</v>
      </c>
      <c r="J15" s="93"/>
      <c r="K15" s="51"/>
      <c r="L15" s="96"/>
      <c r="M15" s="97"/>
      <c r="N15" s="97"/>
      <c r="O15" s="98"/>
    </row>
    <row r="16" ht="10" customHeight="1" hidden="1">
      <c r="A16" t="s" s="99">
        <v>56</v>
      </c>
      <c r="B16" s="100">
        <f>B10*"1.496E11"</f>
        <v>4496377600000</v>
      </c>
      <c r="C16" t="s" s="101">
        <v>68</v>
      </c>
      <c r="D16" s="102"/>
      <c r="E16" t="s" s="103">
        <v>56</v>
      </c>
      <c r="F16" s="100">
        <f>F10*"1.496E11"</f>
        <v>4496976000000</v>
      </c>
      <c r="G16" t="s" s="101">
        <v>68</v>
      </c>
      <c r="H16" s="102"/>
      <c r="I16" t="s" s="103">
        <v>56</v>
      </c>
      <c r="J16" s="100">
        <f>J10*"1.496E11"</f>
        <v>4496976000000</v>
      </c>
      <c r="K16" t="s" s="101">
        <v>68</v>
      </c>
      <c r="L16" s="104"/>
      <c r="M16" s="97"/>
      <c r="N16" s="97"/>
      <c r="O16" s="98"/>
    </row>
    <row r="17" ht="10" customHeight="1" hidden="1">
      <c r="A17" t="s" s="99">
        <v>43</v>
      </c>
      <c r="B17" s="69">
        <f>B13*9.81</f>
        <v>2.943</v>
      </c>
      <c r="C17" t="s" s="101">
        <v>69</v>
      </c>
      <c r="D17" s="102"/>
      <c r="E17" t="s" s="103">
        <v>43</v>
      </c>
      <c r="F17" s="69">
        <f>F13*9.81</f>
        <v>2.943</v>
      </c>
      <c r="G17" t="s" s="101">
        <v>69</v>
      </c>
      <c r="H17" s="102"/>
      <c r="I17" t="s" s="103">
        <v>43</v>
      </c>
      <c r="J17" s="69">
        <f>J13*9.81</f>
        <v>2.943</v>
      </c>
      <c r="K17" t="s" s="101">
        <v>69</v>
      </c>
      <c r="L17" s="104"/>
      <c r="M17" s="97"/>
      <c r="N17" s="97"/>
      <c r="O17" s="98"/>
    </row>
    <row r="18" ht="10" customHeight="1" hidden="1">
      <c r="A18" t="s" s="99">
        <v>70</v>
      </c>
      <c r="B18" s="100">
        <f>B14*24*60*60</f>
        <v>432000</v>
      </c>
      <c r="C18" t="s" s="101">
        <v>71</v>
      </c>
      <c r="D18" s="102"/>
      <c r="E18" t="s" s="103">
        <v>70</v>
      </c>
      <c r="F18" s="100">
        <f>F14*24*60*60</f>
        <v>1235520</v>
      </c>
      <c r="G18" t="s" s="101">
        <v>71</v>
      </c>
      <c r="H18" s="102"/>
      <c r="I18" t="s" s="103">
        <v>70</v>
      </c>
      <c r="J18" s="100">
        <f>SQRT(J16/J17)</f>
        <v>1236132.86698146</v>
      </c>
      <c r="K18" t="s" s="101">
        <v>71</v>
      </c>
      <c r="L18" s="104"/>
      <c r="M18" s="97"/>
      <c r="N18" s="97"/>
      <c r="O18" s="98"/>
    </row>
    <row r="19" ht="10" customHeight="1" hidden="1">
      <c r="A19" t="s" s="99">
        <v>72</v>
      </c>
      <c r="B19" s="69">
        <f>2*B17*B18</f>
        <v>2542752</v>
      </c>
      <c r="C19" t="s" s="101">
        <v>73</v>
      </c>
      <c r="D19" s="102"/>
      <c r="E19" t="s" s="103">
        <v>72</v>
      </c>
      <c r="F19" s="69">
        <f>2*F17*F18</f>
        <v>7272270.72</v>
      </c>
      <c r="G19" t="s" s="101">
        <v>73</v>
      </c>
      <c r="H19" s="102"/>
      <c r="I19" t="s" s="103">
        <v>72</v>
      </c>
      <c r="J19" s="69">
        <f>2*J17*J18</f>
        <v>7275878.05505287</v>
      </c>
      <c r="K19" t="s" s="101">
        <v>73</v>
      </c>
      <c r="L19" s="104"/>
      <c r="M19" s="97"/>
      <c r="N19" s="97"/>
      <c r="O19" s="98"/>
    </row>
    <row r="20" ht="10" customHeight="1" hidden="1">
      <c r="A20" t="s" s="99">
        <v>72</v>
      </c>
      <c r="B20" s="100">
        <f>B19/"1.496E11"*24*60*60</f>
        <v>1.46854126203209</v>
      </c>
      <c r="C20" t="s" s="101">
        <v>74</v>
      </c>
      <c r="D20" s="102"/>
      <c r="E20" t="s" s="103">
        <v>72</v>
      </c>
      <c r="F20" s="100">
        <f>F19/"1.496E11"*24*60*60</f>
        <v>4.20002800941176</v>
      </c>
      <c r="G20" t="s" s="101">
        <v>74</v>
      </c>
      <c r="H20" s="102"/>
      <c r="I20" t="s" s="103">
        <v>72</v>
      </c>
      <c r="J20" s="100">
        <f>J19/"1.496E11"*24*60*60</f>
        <v>4.20211139008401</v>
      </c>
      <c r="K20" t="s" s="101">
        <v>74</v>
      </c>
      <c r="L20" s="104"/>
      <c r="M20" s="97"/>
      <c r="N20" s="97"/>
      <c r="O20" s="98"/>
    </row>
    <row r="21" ht="10" customHeight="1" hidden="1">
      <c r="A21" t="s" s="99">
        <v>75</v>
      </c>
      <c r="B21" s="100">
        <f>B16/B17</f>
        <v>1527821134896.36</v>
      </c>
      <c r="C21" t="s" s="101">
        <v>76</v>
      </c>
      <c r="D21" s="102"/>
      <c r="E21" t="s" s="103">
        <v>75</v>
      </c>
      <c r="F21" s="100">
        <f>F16/F17</f>
        <v>1528024464831.8</v>
      </c>
      <c r="G21" t="s" s="101">
        <v>76</v>
      </c>
      <c r="H21" s="102"/>
      <c r="I21" t="s" s="103">
        <v>75</v>
      </c>
      <c r="J21" s="100">
        <f>J16/J17</f>
        <v>1528024464831.8</v>
      </c>
      <c r="K21" t="s" s="101">
        <v>76</v>
      </c>
      <c r="L21" s="104"/>
      <c r="M21" s="97"/>
      <c r="N21" s="97"/>
      <c r="O21" s="98"/>
    </row>
    <row r="22" ht="10" customHeight="1" hidden="1">
      <c r="A22" t="s" s="99">
        <v>75</v>
      </c>
      <c r="B22" s="100">
        <f>B21/(60*60*24)</f>
        <v>17683114.9872264</v>
      </c>
      <c r="C22" t="s" s="101">
        <v>77</v>
      </c>
      <c r="D22" s="102"/>
      <c r="E22" t="s" s="103">
        <v>75</v>
      </c>
      <c r="F22" s="100">
        <f>F21/(60*60*24)</f>
        <v>17685468.3429606</v>
      </c>
      <c r="G22" t="s" s="101">
        <v>77</v>
      </c>
      <c r="H22" s="102"/>
      <c r="I22" t="s" s="103">
        <v>75</v>
      </c>
      <c r="J22" s="100">
        <f>J21/(60*60*24)</f>
        <v>17685468.3429606</v>
      </c>
      <c r="K22" t="s" s="101">
        <v>77</v>
      </c>
      <c r="L22" s="104"/>
      <c r="M22" s="97"/>
      <c r="N22" s="97"/>
      <c r="O22" s="98"/>
    </row>
    <row r="23" ht="10" customHeight="1" hidden="1">
      <c r="A23" t="s" s="99">
        <v>78</v>
      </c>
      <c r="B23" s="100">
        <f>B21/B18-B18</f>
        <v>3104622.99744528</v>
      </c>
      <c r="C23" t="s" s="101">
        <v>71</v>
      </c>
      <c r="D23" s="102"/>
      <c r="E23" t="s" s="103">
        <v>78</v>
      </c>
      <c r="F23" s="100">
        <f>F21/F18-F18</f>
        <v>1226.037969276090</v>
      </c>
      <c r="G23" t="s" s="101">
        <v>71</v>
      </c>
      <c r="H23" s="102"/>
      <c r="I23" t="s" s="103">
        <v>78</v>
      </c>
      <c r="J23" s="100">
        <f>J21/J18-J18</f>
        <v>-3.14067531689523e-09</v>
      </c>
      <c r="K23" t="s" s="101">
        <v>71</v>
      </c>
      <c r="L23" s="104"/>
      <c r="M23" s="97"/>
      <c r="N23" s="97"/>
      <c r="O23" s="98"/>
    </row>
    <row r="24" ht="20.7" customHeight="1">
      <c r="A24" t="s" s="49">
        <v>79</v>
      </c>
      <c r="B24" s="50"/>
      <c r="C24" s="51"/>
      <c r="D24" s="34"/>
      <c r="E24" t="s" s="52">
        <v>80</v>
      </c>
      <c r="F24" s="50"/>
      <c r="G24" s="51"/>
      <c r="H24" s="34"/>
      <c r="I24" t="s" s="52">
        <v>80</v>
      </c>
      <c r="J24" s="50"/>
      <c r="K24" s="51"/>
      <c r="L24" s="105"/>
      <c r="M24" s="106"/>
      <c r="N24" s="106"/>
      <c r="O24" s="107"/>
    </row>
    <row r="25" ht="19" customHeight="1">
      <c r="A25" t="s" s="56">
        <v>81</v>
      </c>
      <c r="B25" s="108">
        <f>B23/24/60/60</f>
        <v>35.9331365445056</v>
      </c>
      <c r="C25" t="s" s="76">
        <v>47</v>
      </c>
      <c r="D25" s="77"/>
      <c r="E25" t="s" s="78">
        <v>81</v>
      </c>
      <c r="F25" s="108">
        <f>F23/24/60/60</f>
        <v>0.0141902542740288</v>
      </c>
      <c r="G25" t="s" s="76">
        <v>47</v>
      </c>
      <c r="H25" s="77"/>
      <c r="I25" t="s" s="78">
        <v>82</v>
      </c>
      <c r="J25" s="75">
        <f>J26/2</f>
        <v>14.307093367841</v>
      </c>
      <c r="K25" t="s" s="76">
        <v>47</v>
      </c>
      <c r="L25" s="109"/>
      <c r="M25" s="83"/>
      <c r="N25" s="83"/>
      <c r="O25" s="110"/>
    </row>
    <row r="26" ht="19" customHeight="1">
      <c r="A26" t="s" s="56">
        <v>83</v>
      </c>
      <c r="B26" s="75">
        <f>2*B14+B25</f>
        <v>45.9331365445056</v>
      </c>
      <c r="C26" t="s" s="76">
        <v>47</v>
      </c>
      <c r="D26" s="77"/>
      <c r="E26" t="s" s="78">
        <v>83</v>
      </c>
      <c r="F26" s="75">
        <f>2*F14+F25</f>
        <v>28.614190254274</v>
      </c>
      <c r="G26" t="s" s="76">
        <v>47</v>
      </c>
      <c r="H26" s="77"/>
      <c r="I26" t="s" s="78">
        <v>83</v>
      </c>
      <c r="J26" s="75">
        <f>SQRT(4*J10*"1.496E11"/9.81/J13)/60/60/24</f>
        <v>28.6141867356819</v>
      </c>
      <c r="K26" t="s" s="76">
        <v>47</v>
      </c>
      <c r="L26" s="109"/>
      <c r="M26" s="83"/>
      <c r="N26" s="83"/>
      <c r="O26" s="110"/>
    </row>
    <row r="27" ht="19.7" customHeight="1">
      <c r="A27" t="s" s="56">
        <v>83</v>
      </c>
      <c r="B27" s="111">
        <f>B26*24</f>
        <v>1102.395277068130</v>
      </c>
      <c r="C27" t="s" s="76">
        <v>84</v>
      </c>
      <c r="D27" s="77"/>
      <c r="E27" t="s" s="78">
        <v>83</v>
      </c>
      <c r="F27" s="111">
        <f>F26*24</f>
        <v>686.7405661025761</v>
      </c>
      <c r="G27" t="s" s="76">
        <v>84</v>
      </c>
      <c r="H27" s="77"/>
      <c r="I27" s="9"/>
      <c r="J27" s="111">
        <f>J26*24</f>
        <v>686.740481656366</v>
      </c>
      <c r="K27" t="s" s="76">
        <v>84</v>
      </c>
      <c r="L27" s="109"/>
      <c r="M27" s="83"/>
      <c r="N27" s="83"/>
      <c r="O27" s="110"/>
    </row>
    <row r="28" ht="19.7" customHeight="1">
      <c r="A28" t="s" s="112">
        <v>85</v>
      </c>
      <c r="B28" s="10"/>
      <c r="C28" s="60"/>
      <c r="D28" s="34"/>
      <c r="E28" t="s" s="52">
        <v>85</v>
      </c>
      <c r="F28" s="50"/>
      <c r="G28" s="51"/>
      <c r="H28" s="34"/>
      <c r="I28" t="s" s="52">
        <v>85</v>
      </c>
      <c r="J28" s="50"/>
      <c r="K28" s="51"/>
      <c r="L28" s="105"/>
      <c r="M28" s="83"/>
      <c r="N28" s="83"/>
      <c r="O28" s="110"/>
    </row>
    <row r="29" ht="19" customHeight="1">
      <c r="A29" t="s" s="113">
        <v>50</v>
      </c>
      <c r="B29" s="114">
        <f>B13*B14*2</f>
        <v>3</v>
      </c>
      <c r="C29" t="s" s="115">
        <v>51</v>
      </c>
      <c r="D29" s="77"/>
      <c r="E29" t="s" s="78">
        <v>50</v>
      </c>
      <c r="F29" s="75">
        <f>F13*F14*2</f>
        <v>8.58</v>
      </c>
      <c r="G29" t="s" s="76">
        <v>51</v>
      </c>
      <c r="H29" s="77"/>
      <c r="I29" t="s" s="78">
        <v>50</v>
      </c>
      <c r="J29" s="75">
        <f>J13*J26</f>
        <v>8.58425602070457</v>
      </c>
      <c r="K29" t="s" s="76">
        <v>51</v>
      </c>
      <c r="L29" s="109"/>
      <c r="M29" s="83"/>
      <c r="N29" s="83"/>
      <c r="O29" s="110"/>
    </row>
    <row r="30" ht="20" customHeight="1">
      <c r="A30" t="s" s="116">
        <v>86</v>
      </c>
      <c r="B30" s="117">
        <f>B29/N5*100</f>
        <v>14.2857142857143</v>
      </c>
      <c r="C30" t="s" s="118">
        <v>87</v>
      </c>
      <c r="D30" s="119"/>
      <c r="E30" t="s" s="120">
        <v>86</v>
      </c>
      <c r="F30" s="121">
        <f>F29/N5*100</f>
        <v>40.8571428571429</v>
      </c>
      <c r="G30" t="s" s="122">
        <v>87</v>
      </c>
      <c r="H30" s="119"/>
      <c r="I30" t="s" s="120">
        <v>86</v>
      </c>
      <c r="J30" s="121">
        <f>J29/N5*100</f>
        <v>40.8774096224027</v>
      </c>
      <c r="K30" t="s" s="122">
        <v>87</v>
      </c>
      <c r="L30" s="123"/>
      <c r="M30" s="124"/>
      <c r="N30" s="124"/>
      <c r="O30" s="125"/>
    </row>
  </sheetData>
  <mergeCells count="1">
    <mergeCell ref="A28:C28"/>
  </mergeCells>
  <conditionalFormatting sqref="B25 F25 J25:J26">
    <cfRule type="cellIs" dxfId="0" priority="1" operator="lessThan" stopIfTrue="1">
      <formula>0</formula>
    </cfRule>
  </conditionalFormatting>
  <conditionalFormatting sqref="B30 F30 J30">
    <cfRule type="cellIs" dxfId="1" priority="1" operator="greaterThan" stopIfTrue="1">
      <formula>100</formula>
    </cfRule>
  </conditionalFormatting>
  <dataValidations count="1">
    <dataValidation type="list" allowBlank="1" showInputMessage="1" showErrorMessage="1" sqref="B6:B7">
      <formula1>"Sol,Mercury,Venus,Earth,Eros,Mars,Ceres,Tycho,Anderson,Jupiter,Saturn,Uranus,Neptune,Pluto"</formula1>
    </dataValidation>
  </dataValidation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P46"/>
  <sheetViews>
    <sheetView workbookViewId="0" showGridLines="0" defaultGridColor="1"/>
  </sheetViews>
  <sheetFormatPr defaultColWidth="16.3333" defaultRowHeight="19.9" customHeight="1" outlineLevelRow="0" outlineLevelCol="0"/>
  <cols>
    <col min="1" max="1" width="9.17188" style="126" customWidth="1"/>
    <col min="2" max="2" hidden="1" width="16.3333" style="126" customWidth="1"/>
    <col min="3" max="3" width="4.67188" style="126" customWidth="1"/>
    <col min="4" max="4" width="7.5" style="126" customWidth="1"/>
    <col min="5" max="5" width="6" style="126" customWidth="1"/>
    <col min="6" max="6" width="5.35156" style="126" customWidth="1"/>
    <col min="7" max="7" width="4.85156" style="126" customWidth="1"/>
    <col min="8" max="8" width="5.17188" style="126" customWidth="1"/>
    <col min="9" max="10" width="5.85156" style="126" customWidth="1"/>
    <col min="11" max="11" width="8.67188" style="126" customWidth="1"/>
    <col min="12" max="12" width="6.67188" style="126" customWidth="1"/>
    <col min="13" max="13" width="6.35156" style="126" customWidth="1"/>
    <col min="14" max="14" width="6.85156" style="126" customWidth="1"/>
    <col min="15" max="15" width="7.85156" style="126" customWidth="1"/>
    <col min="16" max="16" width="5.5" style="126" customWidth="1"/>
    <col min="17" max="16384" width="16.3516" style="126" customWidth="1"/>
  </cols>
  <sheetData>
    <row r="1" ht="21" customHeight="1">
      <c r="A1" t="s" s="127">
        <v>88</v>
      </c>
      <c r="B1" s="128"/>
      <c r="C1" s="129"/>
      <c r="D1" s="129"/>
      <c r="E1" s="129"/>
      <c r="F1" s="129"/>
      <c r="G1" s="129"/>
      <c r="H1" s="129"/>
      <c r="I1" s="129"/>
      <c r="J1" s="129"/>
      <c r="K1" s="129"/>
      <c r="L1" s="129"/>
      <c r="M1" s="129"/>
      <c r="N1" s="129"/>
      <c r="O1" s="129"/>
      <c r="P1" s="130"/>
    </row>
    <row r="2" ht="20" customHeight="1">
      <c r="A2" s="131"/>
      <c r="B2" s="132"/>
      <c r="C2" t="s" s="133">
        <v>89</v>
      </c>
      <c r="D2" t="s" s="133">
        <v>90</v>
      </c>
      <c r="E2" t="s" s="133">
        <v>91</v>
      </c>
      <c r="F2" t="s" s="133">
        <v>49</v>
      </c>
      <c r="G2" t="s" s="133">
        <v>92</v>
      </c>
      <c r="H2" t="s" s="133">
        <v>93</v>
      </c>
      <c r="I2" t="s" s="133">
        <v>94</v>
      </c>
      <c r="J2" t="s" s="133">
        <v>95</v>
      </c>
      <c r="K2" t="s" s="133">
        <v>96</v>
      </c>
      <c r="L2" t="s" s="133">
        <v>97</v>
      </c>
      <c r="M2" t="s" s="133">
        <v>98</v>
      </c>
      <c r="N2" t="s" s="133">
        <v>99</v>
      </c>
      <c r="O2" t="s" s="133">
        <v>53</v>
      </c>
      <c r="P2" t="s" s="134">
        <v>100</v>
      </c>
    </row>
    <row r="3" ht="8" customHeight="1" hidden="1">
      <c r="A3" s="15"/>
      <c r="B3" s="135"/>
      <c r="C3" s="135">
        <v>1</v>
      </c>
      <c r="D3" s="135">
        <v>2</v>
      </c>
      <c r="E3" s="135">
        <v>3</v>
      </c>
      <c r="F3" s="135">
        <v>4</v>
      </c>
      <c r="G3" s="135">
        <v>5</v>
      </c>
      <c r="H3" s="135">
        <v>6</v>
      </c>
      <c r="I3" s="135">
        <v>7</v>
      </c>
      <c r="J3" s="135">
        <v>8</v>
      </c>
      <c r="K3" s="135">
        <v>9</v>
      </c>
      <c r="L3" s="135">
        <v>10</v>
      </c>
      <c r="M3" s="135">
        <v>11</v>
      </c>
      <c r="N3" s="135">
        <v>12</v>
      </c>
      <c r="O3" s="135">
        <v>13</v>
      </c>
      <c r="P3" s="136">
        <v>14</v>
      </c>
    </row>
    <row r="4" ht="19" customHeight="1">
      <c r="A4" t="s" s="137">
        <v>89</v>
      </c>
      <c r="B4" s="138">
        <v>1</v>
      </c>
      <c r="C4" s="139">
        <v>0</v>
      </c>
      <c r="D4" s="139">
        <v>0.387</v>
      </c>
      <c r="E4" s="139">
        <v>0.723</v>
      </c>
      <c r="F4" s="139">
        <v>1</v>
      </c>
      <c r="G4" s="139">
        <v>1.4579</v>
      </c>
      <c r="H4" s="139">
        <v>1.52</v>
      </c>
      <c r="I4" s="139">
        <v>2.769</v>
      </c>
      <c r="J4" s="139">
        <v>2.769</v>
      </c>
      <c r="K4" s="139">
        <v>2.769</v>
      </c>
      <c r="L4" s="139">
        <v>5.2</v>
      </c>
      <c r="M4" s="139">
        <v>9.58</v>
      </c>
      <c r="N4" s="139">
        <v>19.2</v>
      </c>
      <c r="O4" s="139">
        <v>30.05</v>
      </c>
      <c r="P4" s="140">
        <v>39.48</v>
      </c>
    </row>
    <row r="5" ht="19" customHeight="1">
      <c r="A5" t="s" s="141">
        <v>90</v>
      </c>
      <c r="B5" s="138">
        <v>2</v>
      </c>
      <c r="C5" s="142">
        <v>0.387</v>
      </c>
      <c r="D5" s="142">
        <v>0</v>
      </c>
      <c r="E5" s="142">
        <v>0.776</v>
      </c>
      <c r="F5" s="142">
        <v>1.038</v>
      </c>
      <c r="G5" s="142">
        <v>1.48339327018572</v>
      </c>
      <c r="H5" s="142">
        <v>1.548</v>
      </c>
      <c r="I5" s="142">
        <v>2.78270322220504</v>
      </c>
      <c r="J5" s="142">
        <v>2.78270322220504</v>
      </c>
      <c r="K5" s="142">
        <v>2.78270322220504</v>
      </c>
      <c r="L5" s="142">
        <v>5.212</v>
      </c>
      <c r="M5" s="142">
        <v>9.586</v>
      </c>
      <c r="N5" s="142">
        <v>19.203</v>
      </c>
      <c r="O5" s="142">
        <v>30.049</v>
      </c>
      <c r="P5" s="143">
        <v>39.4914674435063</v>
      </c>
    </row>
    <row r="6" ht="19" customHeight="1">
      <c r="A6" t="s" s="137">
        <v>91</v>
      </c>
      <c r="B6" s="138">
        <v>3</v>
      </c>
      <c r="C6" s="139">
        <v>0.723</v>
      </c>
      <c r="D6" s="139">
        <v>0.776</v>
      </c>
      <c r="E6" s="139">
        <v>0</v>
      </c>
      <c r="F6" s="139">
        <v>1.136</v>
      </c>
      <c r="G6" s="139">
        <v>1.54945893269701</v>
      </c>
      <c r="H6" s="139">
        <v>1.611</v>
      </c>
      <c r="I6" s="139">
        <v>2.81663760255132</v>
      </c>
      <c r="J6" s="139">
        <v>2.81663760255132</v>
      </c>
      <c r="K6" s="139">
        <v>2.81663760255132</v>
      </c>
      <c r="L6" s="139">
        <v>5.23</v>
      </c>
      <c r="M6" s="139">
        <v>9.596</v>
      </c>
      <c r="N6" s="139">
        <v>19.208</v>
      </c>
      <c r="O6" s="139">
        <v>30.052</v>
      </c>
      <c r="P6" s="140">
        <v>39.4914674435063</v>
      </c>
    </row>
    <row r="7" ht="19" customHeight="1">
      <c r="A7" t="s" s="141">
        <v>49</v>
      </c>
      <c r="B7" s="138">
        <v>4</v>
      </c>
      <c r="C7" s="142">
        <v>1</v>
      </c>
      <c r="D7" s="142">
        <v>1.038</v>
      </c>
      <c r="E7" s="142">
        <v>1.136</v>
      </c>
      <c r="F7" s="142">
        <v>0</v>
      </c>
      <c r="G7" s="142">
        <v>1.63672613447338</v>
      </c>
      <c r="H7" s="142">
        <v>1.693</v>
      </c>
      <c r="I7" s="142">
        <v>2.86010854708767</v>
      </c>
      <c r="J7" s="142">
        <v>2.86010854708767</v>
      </c>
      <c r="K7" s="142">
        <v>2.86010854708767</v>
      </c>
      <c r="L7" s="142">
        <v>5.253</v>
      </c>
      <c r="M7" s="142">
        <v>9.608000000000001</v>
      </c>
      <c r="N7" s="142">
        <v>19.214</v>
      </c>
      <c r="O7" s="142">
        <v>30.056</v>
      </c>
      <c r="P7" s="143">
        <v>39.4914674435063</v>
      </c>
    </row>
    <row r="8" ht="19" customHeight="1">
      <c r="A8" t="s" s="137">
        <v>92</v>
      </c>
      <c r="B8" s="138">
        <v>5</v>
      </c>
      <c r="C8" s="139">
        <v>1.4579</v>
      </c>
      <c r="D8" s="139">
        <v>1.48339327018572</v>
      </c>
      <c r="E8" s="139">
        <v>1.54945893269701</v>
      </c>
      <c r="F8" s="139">
        <v>1.63672613447338</v>
      </c>
      <c r="G8" s="139">
        <v>0</v>
      </c>
      <c r="H8" s="139">
        <v>1.89579002013342</v>
      </c>
      <c r="I8" s="139">
        <v>2.96002092740258</v>
      </c>
      <c r="J8" s="139">
        <v>2.96002092740258</v>
      </c>
      <c r="K8" s="139">
        <v>2.96002092740258</v>
      </c>
      <c r="L8" s="139">
        <v>5.3024270288401</v>
      </c>
      <c r="M8" s="139">
        <v>9.633942123405509</v>
      </c>
      <c r="N8" s="139">
        <v>19.2270947447559</v>
      </c>
      <c r="O8" s="139">
        <v>30.0878281886708</v>
      </c>
      <c r="P8" s="140">
        <v>39.4914674435063</v>
      </c>
    </row>
    <row r="9" ht="19" customHeight="1">
      <c r="A9" t="s" s="141">
        <v>93</v>
      </c>
      <c r="B9" s="138">
        <v>6</v>
      </c>
      <c r="C9" s="142">
        <v>1.52</v>
      </c>
      <c r="D9" s="142">
        <v>1.548</v>
      </c>
      <c r="E9" s="142">
        <v>1.611</v>
      </c>
      <c r="F9" s="142">
        <v>1.693</v>
      </c>
      <c r="G9" s="142">
        <v>1.89579002013342</v>
      </c>
      <c r="H9" s="142">
        <v>0</v>
      </c>
      <c r="I9" s="142">
        <v>2.97620380201617</v>
      </c>
      <c r="J9" s="142">
        <v>2.97620380201617</v>
      </c>
      <c r="K9" s="142">
        <v>2.97620380201617</v>
      </c>
      <c r="L9" s="142">
        <v>5.317</v>
      </c>
      <c r="M9" s="142">
        <v>9.643000000000001</v>
      </c>
      <c r="N9" s="142">
        <v>19.231</v>
      </c>
      <c r="O9" s="142">
        <v>30.067</v>
      </c>
      <c r="P9" s="143">
        <v>39.4914674435063</v>
      </c>
    </row>
    <row r="10" ht="19" customHeight="1">
      <c r="A10" t="s" s="137">
        <v>94</v>
      </c>
      <c r="B10" s="138">
        <v>7</v>
      </c>
      <c r="C10" s="139">
        <v>2.769</v>
      </c>
      <c r="D10" s="139">
        <v>2.78270322220504</v>
      </c>
      <c r="E10" s="139">
        <v>2.81663760255132</v>
      </c>
      <c r="F10" s="139">
        <v>2.86010854708767</v>
      </c>
      <c r="G10" s="139">
        <v>2.96002092740258</v>
      </c>
      <c r="H10" s="139">
        <v>2.97620380201617</v>
      </c>
      <c r="I10" s="139">
        <v>0</v>
      </c>
      <c r="J10" s="139">
        <f>C10</f>
        <v>2.769</v>
      </c>
      <c r="K10" s="139">
        <f>C10*2</f>
        <v>5.538</v>
      </c>
      <c r="L10" s="139">
        <v>5.58054526259698</v>
      </c>
      <c r="M10" s="139">
        <v>9.748405785519401</v>
      </c>
      <c r="N10" s="139">
        <v>19.3005416952179</v>
      </c>
      <c r="O10" s="139">
        <v>30.0862430054376</v>
      </c>
      <c r="P10" s="140">
        <v>39.4914674435063</v>
      </c>
    </row>
    <row r="11" ht="19" customHeight="1">
      <c r="A11" t="s" s="141">
        <v>95</v>
      </c>
      <c r="B11" s="138">
        <v>8</v>
      </c>
      <c r="C11" s="142">
        <v>2.769</v>
      </c>
      <c r="D11" s="142">
        <v>2.78270322220504</v>
      </c>
      <c r="E11" s="142">
        <v>2.81663760255132</v>
      </c>
      <c r="F11" s="142">
        <v>2.86010854708767</v>
      </c>
      <c r="G11" s="142">
        <v>2.96002092740258</v>
      </c>
      <c r="H11" s="142">
        <v>2.97620380201617</v>
      </c>
      <c r="I11" s="142">
        <f>J10</f>
        <v>2.769</v>
      </c>
      <c r="J11" s="142">
        <v>0</v>
      </c>
      <c r="K11" s="142">
        <f>C11*SQRT(3)</f>
        <v>4.79604868615822</v>
      </c>
      <c r="L11" s="142">
        <v>5.58054526259698</v>
      </c>
      <c r="M11" s="142">
        <v>9.748405785519401</v>
      </c>
      <c r="N11" s="142">
        <v>19.3005416952179</v>
      </c>
      <c r="O11" s="142">
        <v>30.0862430054376</v>
      </c>
      <c r="P11" s="143">
        <v>39.4914674435063</v>
      </c>
    </row>
    <row r="12" ht="19" customHeight="1">
      <c r="A12" t="s" s="137">
        <v>96</v>
      </c>
      <c r="B12" s="138">
        <v>9</v>
      </c>
      <c r="C12" s="139">
        <v>2.769</v>
      </c>
      <c r="D12" s="139">
        <v>2.78270322220504</v>
      </c>
      <c r="E12" s="139">
        <v>2.81663760255132</v>
      </c>
      <c r="F12" s="139">
        <v>2.86010854708767</v>
      </c>
      <c r="G12" s="139">
        <v>2.96002092740258</v>
      </c>
      <c r="H12" s="139">
        <v>2.97620380201617</v>
      </c>
      <c r="I12" s="139">
        <f>K10</f>
        <v>5.538</v>
      </c>
      <c r="J12" s="139">
        <f>K11</f>
        <v>4.79604868615822</v>
      </c>
      <c r="K12" s="139">
        <v>0</v>
      </c>
      <c r="L12" s="139">
        <v>5.58054526259698</v>
      </c>
      <c r="M12" s="139">
        <v>9.748405785519401</v>
      </c>
      <c r="N12" s="139">
        <v>19.3005416952179</v>
      </c>
      <c r="O12" s="139">
        <v>30.0862430054376</v>
      </c>
      <c r="P12" s="140">
        <v>39.5379266812542</v>
      </c>
    </row>
    <row r="13" ht="19" customHeight="1">
      <c r="A13" t="s" s="141">
        <v>97</v>
      </c>
      <c r="B13" s="138">
        <v>10</v>
      </c>
      <c r="C13" s="142">
        <v>5.2</v>
      </c>
      <c r="D13" s="142">
        <v>5.212</v>
      </c>
      <c r="E13" s="142">
        <v>5.23</v>
      </c>
      <c r="F13" s="142">
        <v>5.253</v>
      </c>
      <c r="G13" s="142">
        <v>5.3024270288401</v>
      </c>
      <c r="H13" s="142">
        <v>5.317</v>
      </c>
      <c r="I13" s="142">
        <v>5.58054526259698</v>
      </c>
      <c r="J13" s="142">
        <v>5.58054526259698</v>
      </c>
      <c r="K13" s="142">
        <v>5.58054526259698</v>
      </c>
      <c r="L13" s="142">
        <v>0</v>
      </c>
      <c r="M13" s="142">
        <v>10.303</v>
      </c>
      <c r="N13" s="142">
        <v>19.556</v>
      </c>
      <c r="O13" s="142">
        <v>30.273</v>
      </c>
      <c r="P13" s="143">
        <v>39.6511749725606</v>
      </c>
    </row>
    <row r="14" ht="19" customHeight="1">
      <c r="A14" t="s" s="137">
        <v>98</v>
      </c>
      <c r="B14" s="138">
        <v>11</v>
      </c>
      <c r="C14" s="139">
        <v>9.58</v>
      </c>
      <c r="D14" s="139">
        <v>9.586</v>
      </c>
      <c r="E14" s="139">
        <v>9.596</v>
      </c>
      <c r="F14" s="139">
        <v>9.608000000000001</v>
      </c>
      <c r="G14" s="139">
        <v>9.633942123405509</v>
      </c>
      <c r="H14" s="139">
        <v>9.643000000000001</v>
      </c>
      <c r="I14" s="139">
        <v>9.748405785519401</v>
      </c>
      <c r="J14" s="139">
        <v>9.748405785519401</v>
      </c>
      <c r="K14" s="139">
        <v>9.748405785519401</v>
      </c>
      <c r="L14" s="139">
        <v>10.303</v>
      </c>
      <c r="M14" s="139">
        <v>0</v>
      </c>
      <c r="N14" s="139">
        <v>20.417</v>
      </c>
      <c r="O14" s="139">
        <v>30.816</v>
      </c>
      <c r="P14" s="140">
        <v>40.0713822195096</v>
      </c>
    </row>
    <row r="15" ht="19" customHeight="1">
      <c r="A15" t="s" s="141">
        <v>99</v>
      </c>
      <c r="B15" s="138">
        <v>12</v>
      </c>
      <c r="C15" s="142">
        <v>19.2</v>
      </c>
      <c r="D15" s="142">
        <v>19.203</v>
      </c>
      <c r="E15" s="142">
        <v>19.208</v>
      </c>
      <c r="F15" s="142">
        <v>19.214</v>
      </c>
      <c r="G15" s="142">
        <v>19.2270947447559</v>
      </c>
      <c r="H15" s="142">
        <v>19.231</v>
      </c>
      <c r="I15" s="142">
        <v>19.3005416952179</v>
      </c>
      <c r="J15" s="142">
        <v>19.3005416952179</v>
      </c>
      <c r="K15" s="142">
        <v>19.3005416952179</v>
      </c>
      <c r="L15" s="142">
        <v>19.556</v>
      </c>
      <c r="M15" s="142">
        <v>20.417</v>
      </c>
      <c r="N15" s="142">
        <v>0</v>
      </c>
      <c r="O15" s="142">
        <v>33.203</v>
      </c>
      <c r="P15" s="143">
        <v>41.8396700316332</v>
      </c>
    </row>
    <row r="16" ht="19" customHeight="1">
      <c r="A16" t="s" s="137">
        <v>53</v>
      </c>
      <c r="B16" s="138">
        <v>13</v>
      </c>
      <c r="C16" s="139">
        <v>30.05</v>
      </c>
      <c r="D16" s="139">
        <v>30.049</v>
      </c>
      <c r="E16" s="139">
        <v>30.052</v>
      </c>
      <c r="F16" s="139">
        <v>30.056</v>
      </c>
      <c r="G16" s="139">
        <v>30.0878281886708</v>
      </c>
      <c r="H16" s="139">
        <v>30.067</v>
      </c>
      <c r="I16" s="139">
        <v>30.0862430054376</v>
      </c>
      <c r="J16" s="139">
        <v>30.0862430054376</v>
      </c>
      <c r="K16" s="139">
        <v>30.0862430054376</v>
      </c>
      <c r="L16" s="139">
        <v>30.273</v>
      </c>
      <c r="M16" s="139">
        <v>30.816</v>
      </c>
      <c r="N16" s="139">
        <v>33.203</v>
      </c>
      <c r="O16" s="139">
        <v>0</v>
      </c>
      <c r="P16" s="140">
        <v>45.5920979558995</v>
      </c>
    </row>
    <row r="17" ht="20" customHeight="1">
      <c r="A17" t="s" s="144">
        <v>100</v>
      </c>
      <c r="B17" s="138">
        <v>14</v>
      </c>
      <c r="C17" s="145">
        <v>39.5</v>
      </c>
      <c r="D17" s="145">
        <v>39.4914674435063</v>
      </c>
      <c r="E17" s="145">
        <v>39.491580125206</v>
      </c>
      <c r="F17" s="145">
        <v>39.4286636297227</v>
      </c>
      <c r="G17" s="145">
        <v>39.4837430174983</v>
      </c>
      <c r="H17" s="145">
        <v>39.413130107277</v>
      </c>
      <c r="I17" s="145">
        <v>39.5379266812542</v>
      </c>
      <c r="J17" s="145">
        <v>39.5379266812542</v>
      </c>
      <c r="K17" s="145">
        <v>39.5379266812542</v>
      </c>
      <c r="L17" s="145">
        <v>39.6511749725606</v>
      </c>
      <c r="M17" s="145">
        <v>40.0713822195096</v>
      </c>
      <c r="N17" s="145">
        <v>41.8396700316332</v>
      </c>
      <c r="O17" s="145">
        <v>45.5920979558995</v>
      </c>
      <c r="P17" s="146">
        <v>0</v>
      </c>
    </row>
    <row r="18" ht="20" customHeight="1">
      <c r="A18" s="147"/>
      <c r="B18" s="148"/>
      <c r="C18" s="149"/>
      <c r="D18" s="149"/>
      <c r="E18" s="149"/>
      <c r="F18" s="149"/>
      <c r="G18" s="149"/>
      <c r="H18" s="149"/>
      <c r="I18" s="149"/>
      <c r="J18" s="149"/>
      <c r="K18" s="149"/>
      <c r="L18" s="149"/>
      <c r="M18" s="149"/>
      <c r="N18" s="149"/>
      <c r="O18" s="149"/>
      <c r="P18" s="150"/>
    </row>
    <row r="19" ht="19" customHeight="1">
      <c r="A19" t="s" s="151">
        <v>101</v>
      </c>
      <c r="B19" s="148"/>
      <c r="C19" s="152"/>
      <c r="D19" s="152"/>
      <c r="E19" s="152"/>
      <c r="F19" s="152"/>
      <c r="G19" s="152"/>
      <c r="H19" s="152"/>
      <c r="I19" s="152"/>
      <c r="J19" s="152"/>
      <c r="K19" s="152"/>
      <c r="L19" s="152"/>
      <c r="M19" s="152"/>
      <c r="N19" s="152"/>
      <c r="O19" s="152"/>
      <c r="P19" s="153"/>
    </row>
    <row r="20" ht="19" customHeight="1">
      <c r="A20" s="154"/>
      <c r="B20" s="138"/>
      <c r="C20" t="s" s="155">
        <v>89</v>
      </c>
      <c r="D20" t="s" s="155">
        <v>90</v>
      </c>
      <c r="E20" t="s" s="155">
        <v>91</v>
      </c>
      <c r="F20" t="s" s="155">
        <v>49</v>
      </c>
      <c r="G20" t="s" s="155">
        <v>92</v>
      </c>
      <c r="H20" t="s" s="155">
        <v>93</v>
      </c>
      <c r="I20" t="s" s="155">
        <v>94</v>
      </c>
      <c r="J20" t="s" s="155">
        <v>95</v>
      </c>
      <c r="K20" t="s" s="155">
        <v>96</v>
      </c>
      <c r="L20" t="s" s="155">
        <v>97</v>
      </c>
      <c r="M20" t="s" s="155">
        <v>98</v>
      </c>
      <c r="N20" t="s" s="155">
        <v>99</v>
      </c>
      <c r="O20" t="s" s="155">
        <v>53</v>
      </c>
      <c r="P20" t="s" s="156">
        <v>100</v>
      </c>
    </row>
    <row r="21" ht="8" customHeight="1" hidden="1">
      <c r="A21" s="15"/>
      <c r="B21" s="138"/>
      <c r="C21" s="135">
        <v>1</v>
      </c>
      <c r="D21" s="135">
        <v>2</v>
      </c>
      <c r="E21" s="135">
        <v>3</v>
      </c>
      <c r="F21" s="135">
        <v>4</v>
      </c>
      <c r="G21" s="135">
        <v>5</v>
      </c>
      <c r="H21" s="135">
        <v>6</v>
      </c>
      <c r="I21" s="135">
        <v>7</v>
      </c>
      <c r="J21" s="135">
        <v>8</v>
      </c>
      <c r="K21" s="135">
        <v>9</v>
      </c>
      <c r="L21" s="135">
        <v>10</v>
      </c>
      <c r="M21" s="135">
        <v>11</v>
      </c>
      <c r="N21" s="135">
        <v>12</v>
      </c>
      <c r="O21" s="135">
        <v>13</v>
      </c>
      <c r="P21" s="136">
        <v>14</v>
      </c>
    </row>
    <row r="22" ht="19" customHeight="1">
      <c r="A22" t="s" s="137">
        <v>89</v>
      </c>
      <c r="B22" s="138"/>
      <c r="C22" s="139">
        <f>C4*8.317</f>
        <v>0</v>
      </c>
      <c r="D22" s="139">
        <f>D4*8.317</f>
        <v>3.218679</v>
      </c>
      <c r="E22" s="139">
        <f>E4*8.317</f>
        <v>6.013191</v>
      </c>
      <c r="F22" s="139">
        <f>F4*8.317</f>
        <v>8.317</v>
      </c>
      <c r="G22" s="139">
        <f>G4*8.317</f>
        <v>12.1253543</v>
      </c>
      <c r="H22" s="139">
        <f>H4*8.317</f>
        <v>12.64184</v>
      </c>
      <c r="I22" s="139">
        <f>I4*8.317</f>
        <v>23.029773</v>
      </c>
      <c r="J22" s="139">
        <f>J4*8.317</f>
        <v>23.029773</v>
      </c>
      <c r="K22" s="139">
        <f>K4*8.317</f>
        <v>23.029773</v>
      </c>
      <c r="L22" s="139">
        <f>L4*8.317</f>
        <v>43.2484</v>
      </c>
      <c r="M22" s="139">
        <f>M4*8.317</f>
        <v>79.67686</v>
      </c>
      <c r="N22" s="139">
        <f>N4*8.317</f>
        <v>159.6864</v>
      </c>
      <c r="O22" s="139">
        <f>O4*8.317</f>
        <v>249.92585</v>
      </c>
      <c r="P22" s="140">
        <f>P4*8.317</f>
        <v>328.35516</v>
      </c>
    </row>
    <row r="23" ht="19" customHeight="1">
      <c r="A23" t="s" s="141">
        <v>90</v>
      </c>
      <c r="B23" s="138"/>
      <c r="C23" s="142">
        <f>C5*8.317</f>
        <v>3.218679</v>
      </c>
      <c r="D23" s="142">
        <f>D5*8.317</f>
        <v>0</v>
      </c>
      <c r="E23" s="142">
        <f>E5*8.317</f>
        <v>6.453992</v>
      </c>
      <c r="F23" s="142">
        <f>F5*8.317</f>
        <v>8.633046</v>
      </c>
      <c r="G23" s="142">
        <f>G5*8.317</f>
        <v>12.3373818281346</v>
      </c>
      <c r="H23" s="142">
        <f>H5*8.317</f>
        <v>12.874716</v>
      </c>
      <c r="I23" s="142">
        <f>I5*8.317</f>
        <v>23.1437426990793</v>
      </c>
      <c r="J23" s="142">
        <f>J5*8.317</f>
        <v>23.1437426990793</v>
      </c>
      <c r="K23" s="142">
        <f>K5*8.317</f>
        <v>23.1437426990793</v>
      </c>
      <c r="L23" s="142">
        <f>L5*8.317</f>
        <v>43.348204</v>
      </c>
      <c r="M23" s="142">
        <f>M5*8.317</f>
        <v>79.72676199999999</v>
      </c>
      <c r="N23" s="142">
        <f>N5*8.317</f>
        <v>159.711351</v>
      </c>
      <c r="O23" s="142">
        <f>O5*8.317</f>
        <v>249.917533</v>
      </c>
      <c r="P23" s="143">
        <f>P5*8.317</f>
        <v>328.450534727642</v>
      </c>
    </row>
    <row r="24" ht="19" customHeight="1">
      <c r="A24" t="s" s="137">
        <v>91</v>
      </c>
      <c r="B24" s="138"/>
      <c r="C24" s="139">
        <f>C6*8.317</f>
        <v>6.013191</v>
      </c>
      <c r="D24" s="139">
        <f>D6*8.317</f>
        <v>6.453992</v>
      </c>
      <c r="E24" s="139">
        <f>E6*8.317</f>
        <v>0</v>
      </c>
      <c r="F24" s="139">
        <f>F6*8.317</f>
        <v>9.448112</v>
      </c>
      <c r="G24" s="139">
        <f>G6*8.317</f>
        <v>12.886849943241</v>
      </c>
      <c r="H24" s="139">
        <f>H6*8.317</f>
        <v>13.398687</v>
      </c>
      <c r="I24" s="139">
        <f>I6*8.317</f>
        <v>23.4259749404193</v>
      </c>
      <c r="J24" s="139">
        <f>J6*8.317</f>
        <v>23.4259749404193</v>
      </c>
      <c r="K24" s="139">
        <f>K6*8.317</f>
        <v>23.4259749404193</v>
      </c>
      <c r="L24" s="139">
        <f>L6*8.317</f>
        <v>43.49791</v>
      </c>
      <c r="M24" s="139">
        <f>M6*8.317</f>
        <v>79.809932</v>
      </c>
      <c r="N24" s="139">
        <f>N6*8.317</f>
        <v>159.752936</v>
      </c>
      <c r="O24" s="139">
        <f>O6*8.317</f>
        <v>249.942484</v>
      </c>
      <c r="P24" s="140">
        <f>P6*8.317</f>
        <v>328.450534727642</v>
      </c>
    </row>
    <row r="25" ht="19" customHeight="1">
      <c r="A25" t="s" s="141">
        <v>49</v>
      </c>
      <c r="B25" s="138"/>
      <c r="C25" s="142">
        <f>C7*8.317</f>
        <v>8.317</v>
      </c>
      <c r="D25" s="142">
        <f>D7*8.317</f>
        <v>8.633046</v>
      </c>
      <c r="E25" s="142">
        <f>E7*8.317</f>
        <v>9.448112</v>
      </c>
      <c r="F25" s="142">
        <f>F7*8.317</f>
        <v>0</v>
      </c>
      <c r="G25" s="142">
        <f>G7*8.317</f>
        <v>13.6126512604151</v>
      </c>
      <c r="H25" s="142">
        <f>H7*8.317</f>
        <v>14.080681</v>
      </c>
      <c r="I25" s="142">
        <f>I7*8.317</f>
        <v>23.7875227861282</v>
      </c>
      <c r="J25" s="142">
        <f>J7*8.317</f>
        <v>23.7875227861282</v>
      </c>
      <c r="K25" s="142">
        <f>K7*8.317</f>
        <v>23.7875227861282</v>
      </c>
      <c r="L25" s="142">
        <f>L7*8.317</f>
        <v>43.689201</v>
      </c>
      <c r="M25" s="142">
        <f>M7*8.317</f>
        <v>79.909736</v>
      </c>
      <c r="N25" s="142">
        <f>N7*8.317</f>
        <v>159.802838</v>
      </c>
      <c r="O25" s="142">
        <f>O7*8.317</f>
        <v>249.975752</v>
      </c>
      <c r="P25" s="143">
        <f>P7*8.317</f>
        <v>328.450534727642</v>
      </c>
    </row>
    <row r="26" ht="19" customHeight="1">
      <c r="A26" t="s" s="137">
        <v>92</v>
      </c>
      <c r="B26" s="138"/>
      <c r="C26" s="139">
        <f>C8*8.317</f>
        <v>12.1253543</v>
      </c>
      <c r="D26" s="139">
        <f>D8*8.317</f>
        <v>12.3373818281346</v>
      </c>
      <c r="E26" s="139">
        <f>E8*8.317</f>
        <v>12.886849943241</v>
      </c>
      <c r="F26" s="139">
        <f>F8*8.317</f>
        <v>13.6126512604151</v>
      </c>
      <c r="G26" s="139">
        <f>G8*8.317</f>
        <v>0</v>
      </c>
      <c r="H26" s="139">
        <f>H8*8.317</f>
        <v>15.7672855974497</v>
      </c>
      <c r="I26" s="139">
        <f>I8*8.317</f>
        <v>24.6184940532073</v>
      </c>
      <c r="J26" s="139">
        <f>J8*8.317</f>
        <v>24.6184940532073</v>
      </c>
      <c r="K26" s="139">
        <f>K8*8.317</f>
        <v>24.6184940532073</v>
      </c>
      <c r="L26" s="139">
        <f>L8*8.317</f>
        <v>44.1002855988631</v>
      </c>
      <c r="M26" s="139">
        <f>M8*8.317</f>
        <v>80.12549664036359</v>
      </c>
      <c r="N26" s="139">
        <f>N8*8.317</f>
        <v>159.911746992135</v>
      </c>
      <c r="O26" s="139">
        <f>O8*8.317</f>
        <v>250.240467045175</v>
      </c>
      <c r="P26" s="140">
        <f>P8*8.317</f>
        <v>328.450534727642</v>
      </c>
    </row>
    <row r="27" ht="19" customHeight="1">
      <c r="A27" t="s" s="141">
        <v>93</v>
      </c>
      <c r="B27" s="138"/>
      <c r="C27" s="142">
        <f>C9*8.317</f>
        <v>12.64184</v>
      </c>
      <c r="D27" s="142">
        <f>D9*8.317</f>
        <v>12.874716</v>
      </c>
      <c r="E27" s="142">
        <f>E9*8.317</f>
        <v>13.398687</v>
      </c>
      <c r="F27" s="142">
        <f>F9*8.317</f>
        <v>14.080681</v>
      </c>
      <c r="G27" s="142">
        <f>G9*8.317</f>
        <v>15.7672855974497</v>
      </c>
      <c r="H27" s="142">
        <f>H9*8.317</f>
        <v>0</v>
      </c>
      <c r="I27" s="142">
        <f>I9*8.317</f>
        <v>24.7530870213685</v>
      </c>
      <c r="J27" s="142">
        <f>J9*8.317</f>
        <v>24.7530870213685</v>
      </c>
      <c r="K27" s="142">
        <f>K9*8.317</f>
        <v>24.7530870213685</v>
      </c>
      <c r="L27" s="142">
        <f>L9*8.317</f>
        <v>44.221489</v>
      </c>
      <c r="M27" s="142">
        <f>M9*8.317</f>
        <v>80.20083099999999</v>
      </c>
      <c r="N27" s="142">
        <f>N9*8.317</f>
        <v>159.944227</v>
      </c>
      <c r="O27" s="142">
        <f>O9*8.317</f>
        <v>250.067239</v>
      </c>
      <c r="P27" s="143">
        <f>P9*8.317</f>
        <v>328.450534727642</v>
      </c>
    </row>
    <row r="28" ht="19" customHeight="1">
      <c r="A28" t="s" s="137">
        <v>94</v>
      </c>
      <c r="B28" s="138"/>
      <c r="C28" s="139">
        <f>C10*8.317</f>
        <v>23.029773</v>
      </c>
      <c r="D28" s="139">
        <f>D10*8.317</f>
        <v>23.1437426990793</v>
      </c>
      <c r="E28" s="139">
        <f>E10*8.317</f>
        <v>23.4259749404193</v>
      </c>
      <c r="F28" s="139">
        <f>F10*8.317</f>
        <v>23.7875227861282</v>
      </c>
      <c r="G28" s="139">
        <f>G10*8.317</f>
        <v>24.6184940532073</v>
      </c>
      <c r="H28" s="139">
        <f>H10*8.317</f>
        <v>24.7530870213685</v>
      </c>
      <c r="I28" s="139">
        <f>I10*8.317</f>
        <v>0</v>
      </c>
      <c r="J28" s="139">
        <f>J10*8.317</f>
        <v>23.029773</v>
      </c>
      <c r="K28" s="139">
        <f>K10*8.317</f>
        <v>46.059546</v>
      </c>
      <c r="L28" s="139">
        <f>L10*8.317</f>
        <v>46.4133949490191</v>
      </c>
      <c r="M28" s="139">
        <f>M10*8.317</f>
        <v>81.0774909181649</v>
      </c>
      <c r="N28" s="139">
        <f>N10*8.317</f>
        <v>160.522605279127</v>
      </c>
      <c r="O28" s="139">
        <f>O10*8.317</f>
        <v>250.227283076225</v>
      </c>
      <c r="P28" s="140">
        <f>P10*8.317</f>
        <v>328.450534727642</v>
      </c>
    </row>
    <row r="29" ht="19" customHeight="1">
      <c r="A29" t="s" s="141">
        <v>95</v>
      </c>
      <c r="B29" s="138"/>
      <c r="C29" s="142">
        <f>C11*8.317</f>
        <v>23.029773</v>
      </c>
      <c r="D29" s="142">
        <f>D11*8.317</f>
        <v>23.1437426990793</v>
      </c>
      <c r="E29" s="142">
        <f>E11*8.317</f>
        <v>23.4259749404193</v>
      </c>
      <c r="F29" s="142">
        <f>F11*8.317</f>
        <v>23.7875227861282</v>
      </c>
      <c r="G29" s="142">
        <f>G11*8.317</f>
        <v>24.6184940532073</v>
      </c>
      <c r="H29" s="142">
        <f>H11*8.317</f>
        <v>24.7530870213685</v>
      </c>
      <c r="I29" s="142">
        <f>I11*8.317</f>
        <v>23.029773</v>
      </c>
      <c r="J29" s="142">
        <f>J11*8.317</f>
        <v>0</v>
      </c>
      <c r="K29" s="142">
        <f>K11*8.317</f>
        <v>39.8887369227779</v>
      </c>
      <c r="L29" s="142">
        <f>L11*8.317</f>
        <v>46.4133949490191</v>
      </c>
      <c r="M29" s="142">
        <f>M11*8.317</f>
        <v>81.0774909181649</v>
      </c>
      <c r="N29" s="142">
        <f>N11*8.317</f>
        <v>160.522605279127</v>
      </c>
      <c r="O29" s="142">
        <f>O11*8.317</f>
        <v>250.227283076225</v>
      </c>
      <c r="P29" s="143">
        <f>P11*8.317</f>
        <v>328.450534727642</v>
      </c>
    </row>
    <row r="30" ht="19" customHeight="1">
      <c r="A30" t="s" s="137">
        <v>96</v>
      </c>
      <c r="B30" s="138"/>
      <c r="C30" s="139">
        <f>C12*8.317</f>
        <v>23.029773</v>
      </c>
      <c r="D30" s="139">
        <f>D12*8.317</f>
        <v>23.1437426990793</v>
      </c>
      <c r="E30" s="139">
        <f>E12*8.317</f>
        <v>23.4259749404193</v>
      </c>
      <c r="F30" s="139">
        <f>F12*8.317</f>
        <v>23.7875227861282</v>
      </c>
      <c r="G30" s="139">
        <f>G12*8.317</f>
        <v>24.6184940532073</v>
      </c>
      <c r="H30" s="139">
        <f>H12*8.317</f>
        <v>24.7530870213685</v>
      </c>
      <c r="I30" s="139">
        <f>I12*8.317</f>
        <v>46.059546</v>
      </c>
      <c r="J30" s="139">
        <f>J12*8.317</f>
        <v>39.8887369227779</v>
      </c>
      <c r="K30" s="139">
        <f>K12*8.317</f>
        <v>0</v>
      </c>
      <c r="L30" s="139">
        <f>L12*8.317</f>
        <v>46.4133949490191</v>
      </c>
      <c r="M30" s="139">
        <f>M12*8.317</f>
        <v>81.0774909181649</v>
      </c>
      <c r="N30" s="139">
        <f>N12*8.317</f>
        <v>160.522605279127</v>
      </c>
      <c r="O30" s="139">
        <f>O12*8.317</f>
        <v>250.227283076225</v>
      </c>
      <c r="P30" s="140">
        <f>P12*8.317</f>
        <v>328.836936207991</v>
      </c>
    </row>
    <row r="31" ht="19" customHeight="1">
      <c r="A31" t="s" s="141">
        <v>97</v>
      </c>
      <c r="B31" s="138"/>
      <c r="C31" s="142">
        <f>C13*8.317</f>
        <v>43.2484</v>
      </c>
      <c r="D31" s="142">
        <f>D13*8.317</f>
        <v>43.348204</v>
      </c>
      <c r="E31" s="142">
        <f>E13*8.317</f>
        <v>43.49791</v>
      </c>
      <c r="F31" s="142">
        <f>F13*8.317</f>
        <v>43.689201</v>
      </c>
      <c r="G31" s="142">
        <f>G13*8.317</f>
        <v>44.1002855988631</v>
      </c>
      <c r="H31" s="142">
        <f>H13*8.317</f>
        <v>44.221489</v>
      </c>
      <c r="I31" s="142">
        <f>I13*8.317</f>
        <v>46.4133949490191</v>
      </c>
      <c r="J31" s="142">
        <f>J13*8.317</f>
        <v>46.4133949490191</v>
      </c>
      <c r="K31" s="142">
        <f>K13*8.317</f>
        <v>46.4133949490191</v>
      </c>
      <c r="L31" s="142">
        <f>L13*8.317</f>
        <v>0</v>
      </c>
      <c r="M31" s="142">
        <f>M13*8.317</f>
        <v>85.690051</v>
      </c>
      <c r="N31" s="142">
        <f>N13*8.317</f>
        <v>162.647252</v>
      </c>
      <c r="O31" s="142">
        <f>O13*8.317</f>
        <v>251.780541</v>
      </c>
      <c r="P31" s="143">
        <f>P13*8.317</f>
        <v>329.778822246787</v>
      </c>
    </row>
    <row r="32" ht="19" customHeight="1">
      <c r="A32" t="s" s="137">
        <v>98</v>
      </c>
      <c r="B32" s="138"/>
      <c r="C32" s="139">
        <f>C14*8.317</f>
        <v>79.67686</v>
      </c>
      <c r="D32" s="139">
        <f>D14*8.317</f>
        <v>79.72676199999999</v>
      </c>
      <c r="E32" s="139">
        <f>E14*8.317</f>
        <v>79.809932</v>
      </c>
      <c r="F32" s="139">
        <f>F14*8.317</f>
        <v>79.909736</v>
      </c>
      <c r="G32" s="139">
        <f>G14*8.317</f>
        <v>80.12549664036359</v>
      </c>
      <c r="H32" s="139">
        <f>H14*8.317</f>
        <v>80.20083099999999</v>
      </c>
      <c r="I32" s="139">
        <f>I14*8.317</f>
        <v>81.0774909181649</v>
      </c>
      <c r="J32" s="139">
        <f>J14*8.317</f>
        <v>81.0774909181649</v>
      </c>
      <c r="K32" s="139">
        <f>K14*8.317</f>
        <v>81.0774909181649</v>
      </c>
      <c r="L32" s="139">
        <f>L14*8.317</f>
        <v>85.690051</v>
      </c>
      <c r="M32" s="139">
        <f>M14*8.317</f>
        <v>0</v>
      </c>
      <c r="N32" s="139">
        <f>N14*8.317</f>
        <v>169.808189</v>
      </c>
      <c r="O32" s="139">
        <f>O14*8.317</f>
        <v>256.296672</v>
      </c>
      <c r="P32" s="140">
        <f>P14*8.317</f>
        <v>333.273685919661</v>
      </c>
    </row>
    <row r="33" ht="19" customHeight="1">
      <c r="A33" t="s" s="141">
        <v>99</v>
      </c>
      <c r="B33" s="138"/>
      <c r="C33" s="142">
        <f>C15*8.317</f>
        <v>159.6864</v>
      </c>
      <c r="D33" s="142">
        <f>D15*8.317</f>
        <v>159.711351</v>
      </c>
      <c r="E33" s="142">
        <f>E15*8.317</f>
        <v>159.752936</v>
      </c>
      <c r="F33" s="142">
        <f>F15*8.317</f>
        <v>159.802838</v>
      </c>
      <c r="G33" s="142">
        <f>G15*8.317</f>
        <v>159.911746992135</v>
      </c>
      <c r="H33" s="142">
        <f>H15*8.317</f>
        <v>159.944227</v>
      </c>
      <c r="I33" s="142">
        <f>I15*8.317</f>
        <v>160.522605279127</v>
      </c>
      <c r="J33" s="142">
        <f>J15*8.317</f>
        <v>160.522605279127</v>
      </c>
      <c r="K33" s="142">
        <f>K15*8.317</f>
        <v>160.522605279127</v>
      </c>
      <c r="L33" s="142">
        <f>L15*8.317</f>
        <v>162.647252</v>
      </c>
      <c r="M33" s="142">
        <f>M15*8.317</f>
        <v>169.808189</v>
      </c>
      <c r="N33" s="142">
        <f>N15*8.317</f>
        <v>0</v>
      </c>
      <c r="O33" s="142">
        <f>O15*8.317</f>
        <v>276.149351</v>
      </c>
      <c r="P33" s="143">
        <f>P15*8.317</f>
        <v>347.980535653093</v>
      </c>
    </row>
    <row r="34" ht="19" customHeight="1">
      <c r="A34" t="s" s="137">
        <v>53</v>
      </c>
      <c r="B34" s="138"/>
      <c r="C34" s="139">
        <f>C16*8.317</f>
        <v>249.92585</v>
      </c>
      <c r="D34" s="139">
        <f>D16*8.317</f>
        <v>249.917533</v>
      </c>
      <c r="E34" s="139">
        <f>E16*8.317</f>
        <v>249.942484</v>
      </c>
      <c r="F34" s="139">
        <f>F16*8.317</f>
        <v>249.975752</v>
      </c>
      <c r="G34" s="139">
        <f>G16*8.317</f>
        <v>250.240467045175</v>
      </c>
      <c r="H34" s="139">
        <f>H16*8.317</f>
        <v>250.067239</v>
      </c>
      <c r="I34" s="139">
        <f>I16*8.317</f>
        <v>250.227283076225</v>
      </c>
      <c r="J34" s="139">
        <f>J16*8.317</f>
        <v>250.227283076225</v>
      </c>
      <c r="K34" s="139">
        <f>K16*8.317</f>
        <v>250.227283076225</v>
      </c>
      <c r="L34" s="139">
        <f>L16*8.317</f>
        <v>251.780541</v>
      </c>
      <c r="M34" s="139">
        <f>M16*8.317</f>
        <v>256.296672</v>
      </c>
      <c r="N34" s="139">
        <f>N16*8.317</f>
        <v>276.149351</v>
      </c>
      <c r="O34" s="139">
        <f>O16*8.317</f>
        <v>0</v>
      </c>
      <c r="P34" s="140">
        <f>P16*8.317</f>
        <v>379.189478699216</v>
      </c>
    </row>
    <row r="35" ht="20" customHeight="1">
      <c r="A35" t="s" s="144">
        <v>100</v>
      </c>
      <c r="B35" s="138"/>
      <c r="C35" s="145">
        <f>C17*8.317</f>
        <v>328.5215</v>
      </c>
      <c r="D35" s="145">
        <f>D17*8.317</f>
        <v>328.450534727642</v>
      </c>
      <c r="E35" s="145">
        <f>E17*8.317</f>
        <v>328.451471901338</v>
      </c>
      <c r="F35" s="145">
        <f>F17*8.317</f>
        <v>327.928195408404</v>
      </c>
      <c r="G35" s="145">
        <f>G17*8.317</f>
        <v>328.386290676533</v>
      </c>
      <c r="H35" s="145">
        <f>H17*8.317</f>
        <v>327.799003102223</v>
      </c>
      <c r="I35" s="145">
        <f>I17*8.317</f>
        <v>328.836936207991</v>
      </c>
      <c r="J35" s="145">
        <f>J17*8.317</f>
        <v>328.836936207991</v>
      </c>
      <c r="K35" s="145">
        <f>K17*8.317</f>
        <v>328.836936207991</v>
      </c>
      <c r="L35" s="145">
        <f>L17*8.317</f>
        <v>329.778822246787</v>
      </c>
      <c r="M35" s="145">
        <f>M17*8.317</f>
        <v>333.273685919661</v>
      </c>
      <c r="N35" s="145">
        <f>N17*8.317</f>
        <v>347.980535653093</v>
      </c>
      <c r="O35" s="145">
        <f>O17*8.317</f>
        <v>379.189478699216</v>
      </c>
      <c r="P35" s="146">
        <f>P17*8.317</f>
        <v>0</v>
      </c>
    </row>
    <row r="36" ht="21.7" customHeight="1">
      <c r="A36" s="157"/>
      <c r="B36" s="148"/>
      <c r="C36" s="158"/>
      <c r="D36" s="158"/>
      <c r="E36" s="158"/>
      <c r="F36" s="158"/>
      <c r="G36" s="158"/>
      <c r="H36" s="158"/>
      <c r="I36" s="158"/>
      <c r="J36" s="158"/>
      <c r="K36" s="158"/>
      <c r="L36" s="158"/>
      <c r="M36" s="158"/>
      <c r="N36" s="158"/>
      <c r="O36" s="158"/>
      <c r="P36" s="159"/>
    </row>
    <row r="37" ht="21.7" customHeight="1">
      <c r="A37" t="s" s="160">
        <v>0</v>
      </c>
      <c r="B37" s="148"/>
      <c r="C37" s="161"/>
      <c r="D37" s="161"/>
      <c r="E37" s="161"/>
      <c r="F37" s="161"/>
      <c r="G37" s="161"/>
      <c r="H37" s="161"/>
      <c r="I37" s="161"/>
      <c r="J37" s="161"/>
      <c r="K37" s="161"/>
      <c r="L37" s="161"/>
      <c r="M37" s="161"/>
      <c r="N37" s="161"/>
      <c r="O37" s="161"/>
      <c r="P37" s="162"/>
    </row>
    <row r="38" ht="20.7" customHeight="1">
      <c r="A38" t="s" s="163">
        <v>102</v>
      </c>
      <c r="B38" s="148"/>
      <c r="C38" t="s" s="164">
        <v>103</v>
      </c>
      <c r="D38" s="165"/>
      <c r="E38" s="165"/>
      <c r="F38" s="165"/>
      <c r="G38" s="165"/>
      <c r="H38" s="165"/>
      <c r="I38" s="165"/>
      <c r="J38" s="165"/>
      <c r="K38" s="165"/>
      <c r="L38" s="165"/>
      <c r="M38" s="165"/>
      <c r="N38" s="165"/>
      <c r="O38" s="165"/>
      <c r="P38" s="166"/>
    </row>
    <row r="39" ht="19.7" customHeight="1">
      <c r="A39" s="9"/>
      <c r="B39" s="148"/>
      <c r="C39" t="s" s="167">
        <v>104</v>
      </c>
      <c r="D39" s="168"/>
      <c r="E39" s="168"/>
      <c r="F39" s="168"/>
      <c r="G39" s="168"/>
      <c r="H39" s="168"/>
      <c r="I39" s="168"/>
      <c r="J39" s="168"/>
      <c r="K39" s="168"/>
      <c r="L39" s="168"/>
      <c r="M39" s="168"/>
      <c r="N39" s="168"/>
      <c r="O39" s="168"/>
      <c r="P39" s="169"/>
    </row>
    <row r="40" ht="19.7" customHeight="1">
      <c r="A40" s="9"/>
      <c r="B40" s="148"/>
      <c r="C40" t="s" s="167">
        <v>105</v>
      </c>
      <c r="D40" s="168"/>
      <c r="E40" s="168"/>
      <c r="F40" s="168"/>
      <c r="G40" s="168"/>
      <c r="H40" s="168"/>
      <c r="I40" s="168"/>
      <c r="J40" s="168"/>
      <c r="K40" s="168"/>
      <c r="L40" s="168"/>
      <c r="M40" s="168"/>
      <c r="N40" s="168"/>
      <c r="O40" s="168"/>
      <c r="P40" s="169"/>
    </row>
    <row r="41" ht="19.7" customHeight="1">
      <c r="A41" s="9"/>
      <c r="B41" s="148"/>
      <c r="C41" t="s" s="167">
        <v>106</v>
      </c>
      <c r="D41" s="168"/>
      <c r="E41" s="168"/>
      <c r="F41" s="168"/>
      <c r="G41" s="168"/>
      <c r="H41" s="168"/>
      <c r="I41" s="168"/>
      <c r="J41" s="168"/>
      <c r="K41" s="168"/>
      <c r="L41" s="168"/>
      <c r="M41" s="168"/>
      <c r="N41" s="168"/>
      <c r="O41" s="168"/>
      <c r="P41" s="169"/>
    </row>
    <row r="42" ht="19.7" customHeight="1">
      <c r="A42" s="9"/>
      <c r="B42" s="148"/>
      <c r="C42" t="s" s="167">
        <v>107</v>
      </c>
      <c r="D42" s="168"/>
      <c r="E42" s="168"/>
      <c r="F42" s="168"/>
      <c r="G42" s="168"/>
      <c r="H42" s="168"/>
      <c r="I42" s="168"/>
      <c r="J42" s="168"/>
      <c r="K42" s="168"/>
      <c r="L42" s="168"/>
      <c r="M42" s="168"/>
      <c r="N42" s="168"/>
      <c r="O42" s="168"/>
      <c r="P42" s="169"/>
    </row>
    <row r="43" ht="19.7" customHeight="1">
      <c r="A43" s="9"/>
      <c r="B43" s="148"/>
      <c r="C43" t="s" s="167">
        <v>108</v>
      </c>
      <c r="D43" s="168"/>
      <c r="E43" s="168"/>
      <c r="F43" s="168"/>
      <c r="G43" s="168"/>
      <c r="H43" s="168"/>
      <c r="I43" s="168"/>
      <c r="J43" s="168"/>
      <c r="K43" s="168"/>
      <c r="L43" s="168"/>
      <c r="M43" s="168"/>
      <c r="N43" s="168"/>
      <c r="O43" s="168"/>
      <c r="P43" s="169"/>
    </row>
    <row r="44" ht="19.7" customHeight="1">
      <c r="A44" s="9"/>
      <c r="B44" s="148"/>
      <c r="C44" t="s" s="167">
        <v>109</v>
      </c>
      <c r="D44" s="168"/>
      <c r="E44" s="168"/>
      <c r="F44" s="168"/>
      <c r="G44" s="168"/>
      <c r="H44" s="168"/>
      <c r="I44" s="168"/>
      <c r="J44" s="168"/>
      <c r="K44" s="168"/>
      <c r="L44" s="168"/>
      <c r="M44" s="168"/>
      <c r="N44" s="168"/>
      <c r="O44" s="168"/>
      <c r="P44" s="169"/>
    </row>
    <row r="45" ht="19.7" customHeight="1">
      <c r="A45" s="9"/>
      <c r="B45" s="148"/>
      <c r="C45" t="s" s="167">
        <v>110</v>
      </c>
      <c r="D45" s="168"/>
      <c r="E45" s="168"/>
      <c r="F45" s="168"/>
      <c r="G45" s="168"/>
      <c r="H45" s="168"/>
      <c r="I45" s="168"/>
      <c r="J45" s="168"/>
      <c r="K45" s="168"/>
      <c r="L45" s="168"/>
      <c r="M45" s="168"/>
      <c r="N45" s="168"/>
      <c r="O45" s="168"/>
      <c r="P45" s="169"/>
    </row>
    <row r="46" ht="20.7" customHeight="1">
      <c r="A46" s="170"/>
      <c r="B46" s="171"/>
      <c r="C46" t="s" s="172">
        <v>111</v>
      </c>
      <c r="D46" s="173"/>
      <c r="E46" s="173"/>
      <c r="F46" s="173"/>
      <c r="G46" s="173"/>
      <c r="H46" s="173"/>
      <c r="I46" s="173"/>
      <c r="J46" s="173"/>
      <c r="K46" s="173"/>
      <c r="L46" s="173"/>
      <c r="M46" s="173"/>
      <c r="N46" s="173"/>
      <c r="O46" s="173"/>
      <c r="P46" s="174"/>
    </row>
  </sheetData>
  <mergeCells count="1">
    <mergeCell ref="A38:A46"/>
  </mergeCells>
  <hyperlinks>
    <hyperlink ref="C39" r:id="rId1" location="" tooltip="" display="Distances are calculated with the help of this article: https://physicstoday.scitation.org/do/10.1063/PT.6.3.20190312a/full/."/>
    <hyperlink ref="C42" r:id="rId2" location="" tooltip="" display="I used this site to help me with the elliptic integrals: https://keisan.casio.com/exec/system/1180573458"/>
    <hyperlink ref="C44" r:id="rId3" location="" tooltip="" display="https://www.wolframalpha.com/input/?i=+distance+from+earth+to+mars+15%2F8%2F2215."/>
    <hyperlink ref="C46" r:id="rId4" location="" tooltip="" display="See: https://scifi.stackexchange.com/questions/156761/when-does-the-expanse-take-place"/>
  </hyperlink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O30"/>
  <sheetViews>
    <sheetView workbookViewId="0" showGridLines="0" defaultGridColor="1"/>
  </sheetViews>
  <sheetFormatPr defaultColWidth="16.3333" defaultRowHeight="19.9" customHeight="1" outlineLevelRow="0" outlineLevelCol="0"/>
  <cols>
    <col min="1" max="1" width="14" style="175" customWidth="1"/>
    <col min="2" max="2" width="7.85156" style="175" customWidth="1"/>
    <col min="3" max="3" width="9.35156" style="175" customWidth="1"/>
    <col min="4" max="4" width="4.35156" style="175" customWidth="1"/>
    <col min="5" max="7" width="9.35156" style="175" customWidth="1"/>
    <col min="8" max="8" width="4.35156" style="175" customWidth="1"/>
    <col min="9" max="11" width="9.35156" style="175" customWidth="1"/>
    <col min="12" max="12" width="3.5" style="175" customWidth="1"/>
    <col min="13" max="15" width="9.35156" style="175" customWidth="1"/>
    <col min="16" max="16384" width="16.3516" style="175" customWidth="1"/>
  </cols>
  <sheetData>
    <row r="1" ht="21" customHeight="1">
      <c r="A1" t="s" s="22">
        <v>112</v>
      </c>
      <c r="B1" s="23"/>
      <c r="C1" s="23"/>
      <c r="D1" s="23"/>
      <c r="E1" s="23"/>
      <c r="F1" s="23"/>
      <c r="G1" s="23"/>
      <c r="H1" s="23"/>
      <c r="I1" s="23"/>
      <c r="J1" s="23"/>
      <c r="K1" s="23"/>
      <c r="L1" s="23"/>
      <c r="M1" s="23"/>
      <c r="N1" s="23"/>
      <c r="O1" s="24"/>
    </row>
    <row r="2" ht="20.7" customHeight="1">
      <c r="A2" s="25"/>
      <c r="B2" s="26"/>
      <c r="C2" s="27"/>
      <c r="D2" s="28"/>
      <c r="E2" s="29"/>
      <c r="F2" s="26"/>
      <c r="G2" s="27"/>
      <c r="H2" s="28"/>
      <c r="I2" s="29"/>
      <c r="J2" s="26"/>
      <c r="K2" s="27"/>
      <c r="L2" s="28"/>
      <c r="M2" s="29"/>
      <c r="N2" s="26"/>
      <c r="O2" s="30"/>
    </row>
    <row r="3" ht="19.7" customHeight="1">
      <c r="A3" t="s" s="22">
        <v>36</v>
      </c>
      <c r="B3" s="37"/>
      <c r="C3" s="38"/>
      <c r="D3" s="39"/>
      <c r="E3" t="s" s="22">
        <v>37</v>
      </c>
      <c r="F3" s="37"/>
      <c r="G3" s="38"/>
      <c r="H3" s="39"/>
      <c r="I3" t="s" s="22">
        <v>38</v>
      </c>
      <c r="J3" s="37"/>
      <c r="K3" s="38"/>
      <c r="L3" s="39"/>
      <c r="M3" t="s" s="22">
        <v>39</v>
      </c>
      <c r="N3" s="37"/>
      <c r="O3" s="38"/>
    </row>
    <row r="4" ht="19.7" customHeight="1">
      <c r="A4" t="s" s="43">
        <v>40</v>
      </c>
      <c r="B4" s="44"/>
      <c r="C4" s="45"/>
      <c r="D4" s="34"/>
      <c r="E4" t="s" s="43">
        <v>41</v>
      </c>
      <c r="F4" s="44"/>
      <c r="G4" s="45"/>
      <c r="H4" s="34"/>
      <c r="I4" t="s" s="43">
        <v>42</v>
      </c>
      <c r="J4" s="44"/>
      <c r="K4" s="45"/>
      <c r="L4" s="34"/>
      <c r="M4" t="s" s="46">
        <v>43</v>
      </c>
      <c r="N4" s="47">
        <v>0.25</v>
      </c>
      <c r="O4" t="s" s="48">
        <v>44</v>
      </c>
    </row>
    <row r="5" ht="19.7" customHeight="1">
      <c r="A5" t="s" s="49">
        <v>45</v>
      </c>
      <c r="B5" s="50"/>
      <c r="C5" s="51"/>
      <c r="D5" s="34"/>
      <c r="E5" t="s" s="52">
        <v>45</v>
      </c>
      <c r="F5" s="50"/>
      <c r="G5" s="51"/>
      <c r="H5" s="34"/>
      <c r="I5" t="s" s="52">
        <v>45</v>
      </c>
      <c r="J5" s="50"/>
      <c r="K5" s="51"/>
      <c r="L5" s="34"/>
      <c r="M5" t="s" s="53">
        <v>46</v>
      </c>
      <c r="N5" s="54">
        <v>21</v>
      </c>
      <c r="O5" t="s" s="55">
        <v>47</v>
      </c>
    </row>
    <row r="6" ht="20.7" customHeight="1">
      <c r="A6" t="s" s="56">
        <v>48</v>
      </c>
      <c r="B6" t="s" s="57">
        <v>49</v>
      </c>
      <c r="C6" s="42"/>
      <c r="D6" s="58"/>
      <c r="E6" s="9"/>
      <c r="F6" s="41"/>
      <c r="G6" s="42"/>
      <c r="H6" s="58"/>
      <c r="I6" s="9"/>
      <c r="J6" s="59"/>
      <c r="K6" s="60"/>
      <c r="L6" s="58"/>
      <c r="M6" t="s" s="61">
        <v>50</v>
      </c>
      <c r="N6" s="62">
        <f>N4*N5</f>
        <v>5.25</v>
      </c>
      <c r="O6" t="s" s="63">
        <v>51</v>
      </c>
    </row>
    <row r="7" ht="20.7" customHeight="1">
      <c r="A7" t="s" s="56">
        <v>52</v>
      </c>
      <c r="B7" t="s" s="57">
        <v>53</v>
      </c>
      <c r="C7" s="42"/>
      <c r="D7" s="58"/>
      <c r="E7" s="9"/>
      <c r="F7" s="59"/>
      <c r="G7" s="60"/>
      <c r="H7" s="58"/>
      <c r="I7" s="9"/>
      <c r="J7" s="59"/>
      <c r="K7" s="60"/>
      <c r="L7" s="64"/>
      <c r="M7" s="65"/>
      <c r="N7" s="66"/>
      <c r="O7" s="67"/>
    </row>
    <row r="8" ht="8" customHeight="1" hidden="1">
      <c r="A8" t="s" s="68">
        <v>54</v>
      </c>
      <c r="B8" s="69">
        <f>MATCH(B6,'Distances (2351)'!A9:A27)</f>
        <v>4</v>
      </c>
      <c r="C8" s="70"/>
      <c r="D8" s="71"/>
      <c r="E8" s="9"/>
      <c r="F8" s="10"/>
      <c r="G8" s="60"/>
      <c r="H8" s="71"/>
      <c r="I8" s="9"/>
      <c r="J8" s="10"/>
      <c r="K8" s="60"/>
      <c r="L8" s="71"/>
      <c r="M8" s="72"/>
      <c r="N8" s="73"/>
      <c r="O8" s="74"/>
    </row>
    <row r="9" ht="8" customHeight="1" hidden="1">
      <c r="A9" t="s" s="68">
        <v>55</v>
      </c>
      <c r="B9" s="69">
        <f>MATCH(B7,'Distances (2351)'!F4:X4)</f>
        <v>18</v>
      </c>
      <c r="C9" s="70"/>
      <c r="D9" s="71"/>
      <c r="E9" s="9"/>
      <c r="F9" s="10"/>
      <c r="G9" s="60"/>
      <c r="H9" s="71"/>
      <c r="I9" s="9"/>
      <c r="J9" s="10"/>
      <c r="K9" s="60"/>
      <c r="L9" s="71"/>
      <c r="M9" s="72"/>
      <c r="N9" s="73"/>
      <c r="O9" s="74"/>
    </row>
    <row r="10" ht="19.7" customHeight="1">
      <c r="A10" t="s" s="56">
        <v>56</v>
      </c>
      <c r="B10" s="75">
        <f>INDEX('Distances (2351)'!F9:X27,B8,B9)</f>
        <v>29.7009280813153</v>
      </c>
      <c r="C10" t="s" s="76">
        <v>57</v>
      </c>
      <c r="D10" s="77"/>
      <c r="E10" t="s" s="78">
        <v>56</v>
      </c>
      <c r="F10" s="79">
        <v>29.7</v>
      </c>
      <c r="G10" t="s" s="76">
        <v>57</v>
      </c>
      <c r="H10" s="77"/>
      <c r="I10" t="s" s="78">
        <v>56</v>
      </c>
      <c r="J10" s="79">
        <v>29.7</v>
      </c>
      <c r="K10" t="s" s="76">
        <v>57</v>
      </c>
      <c r="L10" s="80"/>
      <c r="M10" t="s" s="22">
        <v>58</v>
      </c>
      <c r="N10" s="37"/>
      <c r="O10" s="38"/>
    </row>
    <row r="11" ht="19.7" customHeight="1">
      <c r="A11" t="s" s="56">
        <v>56</v>
      </c>
      <c r="B11" s="75">
        <f>B10*"1.496E11"/"3E8"/60</f>
        <v>246.847713386932</v>
      </c>
      <c r="C11" t="s" s="76">
        <v>59</v>
      </c>
      <c r="D11" s="77"/>
      <c r="E11" t="s" s="78">
        <v>56</v>
      </c>
      <c r="F11" s="176">
        <f>F10*"1.496E11"/"3E8"/60</f>
        <v>246.84</v>
      </c>
      <c r="G11" t="s" s="76">
        <v>59</v>
      </c>
      <c r="H11" s="77"/>
      <c r="I11" t="s" s="78">
        <v>56</v>
      </c>
      <c r="J11" s="176">
        <f>J10*"1.496E11"/"3E8"/60</f>
        <v>246.84</v>
      </c>
      <c r="K11" t="s" s="76">
        <v>59</v>
      </c>
      <c r="L11" s="77"/>
      <c r="M11" t="s" s="43">
        <v>60</v>
      </c>
      <c r="N11" s="81"/>
      <c r="O11" s="82"/>
    </row>
    <row r="12" ht="19.7" customHeight="1">
      <c r="A12" t="s" s="49">
        <v>61</v>
      </c>
      <c r="B12" s="50"/>
      <c r="C12" s="51"/>
      <c r="D12" s="34"/>
      <c r="E12" t="s" s="52">
        <v>61</v>
      </c>
      <c r="F12" s="50"/>
      <c r="G12" s="51"/>
      <c r="H12" s="34"/>
      <c r="I12" t="s" s="52">
        <v>61</v>
      </c>
      <c r="J12" s="50"/>
      <c r="K12" s="51"/>
      <c r="L12" s="34"/>
      <c r="M12" t="s" s="40">
        <v>62</v>
      </c>
      <c r="N12" s="83"/>
      <c r="O12" s="84"/>
    </row>
    <row r="13" ht="19" customHeight="1">
      <c r="A13" t="s" s="56">
        <v>63</v>
      </c>
      <c r="B13" s="85">
        <v>0.3</v>
      </c>
      <c r="C13" t="s" s="76">
        <v>44</v>
      </c>
      <c r="D13" s="77"/>
      <c r="E13" t="s" s="78">
        <v>63</v>
      </c>
      <c r="F13" s="85">
        <v>0.3</v>
      </c>
      <c r="G13" t="s" s="76">
        <v>44</v>
      </c>
      <c r="H13" s="77"/>
      <c r="I13" t="s" s="78">
        <v>63</v>
      </c>
      <c r="J13" s="85">
        <v>0.3</v>
      </c>
      <c r="K13" t="s" s="76">
        <v>44</v>
      </c>
      <c r="L13" s="77"/>
      <c r="M13" t="s" s="86">
        <v>113</v>
      </c>
      <c r="N13" s="87"/>
      <c r="O13" s="88"/>
    </row>
    <row r="14" ht="20.7" customHeight="1">
      <c r="A14" t="s" s="56">
        <v>65</v>
      </c>
      <c r="B14" s="85">
        <v>5</v>
      </c>
      <c r="C14" t="s" s="76">
        <v>47</v>
      </c>
      <c r="D14" s="77"/>
      <c r="E14" t="s" s="78">
        <v>65</v>
      </c>
      <c r="F14" s="85">
        <v>14.2</v>
      </c>
      <c r="G14" t="s" s="76">
        <v>47</v>
      </c>
      <c r="H14" s="77"/>
      <c r="I14" s="9"/>
      <c r="J14" s="59"/>
      <c r="K14" s="60"/>
      <c r="L14" s="77"/>
      <c r="M14" t="s" s="89">
        <v>66</v>
      </c>
      <c r="N14" s="90"/>
      <c r="O14" s="91"/>
    </row>
    <row r="15" ht="10" customHeight="1" hidden="1">
      <c r="A15" t="s" s="92">
        <v>67</v>
      </c>
      <c r="B15" s="93"/>
      <c r="C15" s="51"/>
      <c r="D15" s="94"/>
      <c r="E15" t="s" s="95">
        <v>67</v>
      </c>
      <c r="F15" s="93"/>
      <c r="G15" s="51"/>
      <c r="H15" s="94"/>
      <c r="I15" t="s" s="95">
        <v>67</v>
      </c>
      <c r="J15" s="93"/>
      <c r="K15" s="51"/>
      <c r="L15" s="96"/>
      <c r="M15" s="97"/>
      <c r="N15" s="97"/>
      <c r="O15" s="98"/>
    </row>
    <row r="16" ht="10" customHeight="1" hidden="1">
      <c r="A16" t="s" s="99">
        <v>56</v>
      </c>
      <c r="B16" s="100">
        <f>B10*"1.496E11"</f>
        <v>4443258840964.77</v>
      </c>
      <c r="C16" t="s" s="101">
        <v>68</v>
      </c>
      <c r="D16" s="102"/>
      <c r="E16" t="s" s="103">
        <v>56</v>
      </c>
      <c r="F16" s="100">
        <f>F10*"1.496E11"</f>
        <v>4443120000000</v>
      </c>
      <c r="G16" t="s" s="101">
        <v>68</v>
      </c>
      <c r="H16" s="102"/>
      <c r="I16" t="s" s="103">
        <v>56</v>
      </c>
      <c r="J16" s="100">
        <f>J10*"1.496E11"</f>
        <v>4443120000000</v>
      </c>
      <c r="K16" t="s" s="101">
        <v>68</v>
      </c>
      <c r="L16" s="104"/>
      <c r="M16" s="97"/>
      <c r="N16" s="97"/>
      <c r="O16" s="98"/>
    </row>
    <row r="17" ht="10" customHeight="1" hidden="1">
      <c r="A17" t="s" s="99">
        <v>43</v>
      </c>
      <c r="B17" s="177">
        <f>B13*9.81</f>
        <v>2.943</v>
      </c>
      <c r="C17" t="s" s="101">
        <v>69</v>
      </c>
      <c r="D17" s="102"/>
      <c r="E17" t="s" s="103">
        <v>43</v>
      </c>
      <c r="F17" s="177">
        <f>F13*9.81</f>
        <v>2.943</v>
      </c>
      <c r="G17" t="s" s="101">
        <v>69</v>
      </c>
      <c r="H17" s="102"/>
      <c r="I17" t="s" s="103">
        <v>43</v>
      </c>
      <c r="J17" s="177">
        <f>J13*9.81</f>
        <v>2.943</v>
      </c>
      <c r="K17" t="s" s="101">
        <v>69</v>
      </c>
      <c r="L17" s="104"/>
      <c r="M17" s="97"/>
      <c r="N17" s="97"/>
      <c r="O17" s="98"/>
    </row>
    <row r="18" ht="10" customHeight="1" hidden="1">
      <c r="A18" t="s" s="99">
        <v>70</v>
      </c>
      <c r="B18" s="100">
        <f>B14*24*60*60</f>
        <v>432000</v>
      </c>
      <c r="C18" t="s" s="101">
        <v>71</v>
      </c>
      <c r="D18" s="102"/>
      <c r="E18" t="s" s="103">
        <v>70</v>
      </c>
      <c r="F18" s="100">
        <f>F14*24*60*60</f>
        <v>1226880</v>
      </c>
      <c r="G18" t="s" s="101">
        <v>71</v>
      </c>
      <c r="H18" s="102"/>
      <c r="I18" t="s" s="103">
        <v>70</v>
      </c>
      <c r="J18" s="100">
        <f>SQRT(J16/J17)</f>
        <v>1228708.57840344</v>
      </c>
      <c r="K18" t="s" s="101">
        <v>71</v>
      </c>
      <c r="L18" s="104"/>
      <c r="M18" s="97"/>
      <c r="N18" s="97"/>
      <c r="O18" s="98"/>
    </row>
    <row r="19" ht="10" customHeight="1" hidden="1">
      <c r="A19" t="s" s="99">
        <v>72</v>
      </c>
      <c r="B19" s="178">
        <f>2*B17*B18</f>
        <v>2542752</v>
      </c>
      <c r="C19" t="s" s="101">
        <v>73</v>
      </c>
      <c r="D19" s="102"/>
      <c r="E19" t="s" s="103">
        <v>72</v>
      </c>
      <c r="F19" s="178">
        <f>2*F17*F18</f>
        <v>7221415.68</v>
      </c>
      <c r="G19" t="s" s="101">
        <v>73</v>
      </c>
      <c r="H19" s="102"/>
      <c r="I19" t="s" s="103">
        <v>72</v>
      </c>
      <c r="J19" s="178">
        <f>2*J17*J18</f>
        <v>7232178.69248265</v>
      </c>
      <c r="K19" t="s" s="101">
        <v>73</v>
      </c>
      <c r="L19" s="104"/>
      <c r="M19" s="97"/>
      <c r="N19" s="97"/>
      <c r="O19" s="98"/>
    </row>
    <row r="20" ht="10" customHeight="1" hidden="1">
      <c r="A20" t="s" s="99">
        <v>72</v>
      </c>
      <c r="B20" s="100">
        <f>B19/"1.496E11"*24*60*60</f>
        <v>1.46854126203209</v>
      </c>
      <c r="C20" t="s" s="101">
        <v>74</v>
      </c>
      <c r="D20" s="102"/>
      <c r="E20" t="s" s="103">
        <v>72</v>
      </c>
      <c r="F20" s="100">
        <f>F19/"1.496E11"*24*60*60</f>
        <v>4.17065718417112</v>
      </c>
      <c r="G20" t="s" s="101">
        <v>74</v>
      </c>
      <c r="H20" s="102"/>
      <c r="I20" t="s" s="103">
        <v>72</v>
      </c>
      <c r="J20" s="100">
        <f>J19/"1.496E11"*24*60*60</f>
        <v>4.17687325555148</v>
      </c>
      <c r="K20" t="s" s="101">
        <v>74</v>
      </c>
      <c r="L20" s="104"/>
      <c r="M20" s="97"/>
      <c r="N20" s="97"/>
      <c r="O20" s="98"/>
    </row>
    <row r="21" ht="10" customHeight="1" hidden="1">
      <c r="A21" t="s" s="99">
        <v>75</v>
      </c>
      <c r="B21" s="100">
        <f>B16/B17</f>
        <v>1509771947320.68</v>
      </c>
      <c r="C21" t="s" s="101">
        <v>76</v>
      </c>
      <c r="D21" s="102"/>
      <c r="E21" t="s" s="103">
        <v>75</v>
      </c>
      <c r="F21" s="100">
        <f>F16/F17</f>
        <v>1509724770642.2</v>
      </c>
      <c r="G21" t="s" s="101">
        <v>76</v>
      </c>
      <c r="H21" s="102"/>
      <c r="I21" t="s" s="103">
        <v>75</v>
      </c>
      <c r="J21" s="100">
        <f>J16/J17</f>
        <v>1509724770642.2</v>
      </c>
      <c r="K21" t="s" s="101">
        <v>76</v>
      </c>
      <c r="L21" s="104"/>
      <c r="M21" s="97"/>
      <c r="N21" s="97"/>
      <c r="O21" s="98"/>
    </row>
    <row r="22" ht="10" customHeight="1" hidden="1">
      <c r="A22" t="s" s="99">
        <v>75</v>
      </c>
      <c r="B22" s="100">
        <f>B21/(60*60*24)</f>
        <v>17474212.3532486</v>
      </c>
      <c r="C22" t="s" s="101">
        <v>77</v>
      </c>
      <c r="D22" s="102"/>
      <c r="E22" t="s" s="103">
        <v>75</v>
      </c>
      <c r="F22" s="100">
        <f>F21/(60*60*24)</f>
        <v>17473666.3268773</v>
      </c>
      <c r="G22" t="s" s="101">
        <v>77</v>
      </c>
      <c r="H22" s="102"/>
      <c r="I22" t="s" s="103">
        <v>75</v>
      </c>
      <c r="J22" s="100">
        <f>J21/(60*60*24)</f>
        <v>17473666.3268773</v>
      </c>
      <c r="K22" t="s" s="101">
        <v>77</v>
      </c>
      <c r="L22" s="104"/>
      <c r="M22" s="97"/>
      <c r="N22" s="97"/>
      <c r="O22" s="98"/>
    </row>
    <row r="23" ht="10" customHeight="1" hidden="1">
      <c r="A23" t="s" s="99">
        <v>78</v>
      </c>
      <c r="B23" s="100">
        <f>B21/B18-B18</f>
        <v>3062842.47064972</v>
      </c>
      <c r="C23" t="s" s="101">
        <v>71</v>
      </c>
      <c r="D23" s="102"/>
      <c r="E23" t="s" s="103">
        <v>78</v>
      </c>
      <c r="F23" s="100">
        <f>F21/F18-F18</f>
        <v>3659.882174458790</v>
      </c>
      <c r="G23" t="s" s="101">
        <v>71</v>
      </c>
      <c r="H23" s="102"/>
      <c r="I23" t="s" s="103">
        <v>78</v>
      </c>
      <c r="J23" s="100">
        <f>J21/J18-J18</f>
        <v>-2.0033874973284e-09</v>
      </c>
      <c r="K23" t="s" s="101">
        <v>71</v>
      </c>
      <c r="L23" s="104"/>
      <c r="M23" s="97"/>
      <c r="N23" s="97"/>
      <c r="O23" s="98"/>
    </row>
    <row r="24" ht="20.7" customHeight="1">
      <c r="A24" t="s" s="49">
        <v>79</v>
      </c>
      <c r="B24" s="50"/>
      <c r="C24" s="51"/>
      <c r="D24" s="34"/>
      <c r="E24" t="s" s="52">
        <v>80</v>
      </c>
      <c r="F24" s="50"/>
      <c r="G24" s="51"/>
      <c r="H24" s="34"/>
      <c r="I24" t="s" s="52">
        <v>80</v>
      </c>
      <c r="J24" s="50"/>
      <c r="K24" s="51"/>
      <c r="L24" s="105"/>
      <c r="M24" s="106"/>
      <c r="N24" s="106"/>
      <c r="O24" s="107"/>
    </row>
    <row r="25" ht="19" customHeight="1">
      <c r="A25" t="s" s="56">
        <v>81</v>
      </c>
      <c r="B25" s="176">
        <f>B23/24/60/60</f>
        <v>35.4495656325199</v>
      </c>
      <c r="C25" t="s" s="76">
        <v>47</v>
      </c>
      <c r="D25" s="77"/>
      <c r="E25" t="s" s="78">
        <v>81</v>
      </c>
      <c r="F25" s="176">
        <f>F23/24/60/60</f>
        <v>0.0423597473895693</v>
      </c>
      <c r="G25" t="s" s="76">
        <v>47</v>
      </c>
      <c r="H25" s="77"/>
      <c r="I25" t="s" s="78">
        <v>82</v>
      </c>
      <c r="J25" s="176">
        <f>J26/2</f>
        <v>14.2211641018917</v>
      </c>
      <c r="K25" t="s" s="76">
        <v>47</v>
      </c>
      <c r="L25" s="109"/>
      <c r="M25" s="83"/>
      <c r="N25" s="83"/>
      <c r="O25" s="110"/>
    </row>
    <row r="26" ht="19" customHeight="1">
      <c r="A26" t="s" s="56">
        <v>83</v>
      </c>
      <c r="B26" s="176">
        <f>2*B14+B25</f>
        <v>45.4495656325199</v>
      </c>
      <c r="C26" t="s" s="76">
        <v>47</v>
      </c>
      <c r="D26" s="77"/>
      <c r="E26" t="s" s="78">
        <v>83</v>
      </c>
      <c r="F26" s="176">
        <f>2*F14+F25</f>
        <v>28.4423597473896</v>
      </c>
      <c r="G26" t="s" s="76">
        <v>47</v>
      </c>
      <c r="H26" s="77"/>
      <c r="I26" t="s" s="78">
        <v>83</v>
      </c>
      <c r="J26" s="176">
        <f>SQRT(4*J10*"1.496E11"/9.81/J13)/60/60/24</f>
        <v>28.4423282037833</v>
      </c>
      <c r="K26" t="s" s="76">
        <v>47</v>
      </c>
      <c r="L26" s="109"/>
      <c r="M26" s="83"/>
      <c r="N26" s="83"/>
      <c r="O26" s="110"/>
    </row>
    <row r="27" ht="19.7" customHeight="1">
      <c r="A27" t="s" s="56">
        <v>83</v>
      </c>
      <c r="B27" s="111">
        <f>B26*24</f>
        <v>1090.789575180480</v>
      </c>
      <c r="C27" t="s" s="76">
        <v>84</v>
      </c>
      <c r="D27" s="77"/>
      <c r="E27" t="s" s="78">
        <v>83</v>
      </c>
      <c r="F27" s="111">
        <f>F26*24</f>
        <v>682.616633937350</v>
      </c>
      <c r="G27" t="s" s="76">
        <v>84</v>
      </c>
      <c r="H27" s="77"/>
      <c r="I27" s="9"/>
      <c r="J27" s="111">
        <f>J26*24</f>
        <v>682.615876890799</v>
      </c>
      <c r="K27" t="s" s="76">
        <v>84</v>
      </c>
      <c r="L27" s="109"/>
      <c r="M27" s="83"/>
      <c r="N27" s="83"/>
      <c r="O27" s="110"/>
    </row>
    <row r="28" ht="19.7" customHeight="1">
      <c r="A28" t="s" s="112">
        <v>85</v>
      </c>
      <c r="B28" s="10"/>
      <c r="C28" s="60"/>
      <c r="D28" s="34"/>
      <c r="E28" t="s" s="52">
        <v>85</v>
      </c>
      <c r="F28" s="50"/>
      <c r="G28" s="51"/>
      <c r="H28" s="34"/>
      <c r="I28" t="s" s="52">
        <v>85</v>
      </c>
      <c r="J28" s="50"/>
      <c r="K28" s="51"/>
      <c r="L28" s="105"/>
      <c r="M28" s="83"/>
      <c r="N28" s="83"/>
      <c r="O28" s="110"/>
    </row>
    <row r="29" ht="19" customHeight="1">
      <c r="A29" t="s" s="113">
        <v>50</v>
      </c>
      <c r="B29" s="114">
        <f>B13*B14*2</f>
        <v>3</v>
      </c>
      <c r="C29" t="s" s="115">
        <v>51</v>
      </c>
      <c r="D29" s="77"/>
      <c r="E29" t="s" s="78">
        <v>50</v>
      </c>
      <c r="F29" s="176">
        <f>F13*F14*2</f>
        <v>8.52</v>
      </c>
      <c r="G29" t="s" s="76">
        <v>51</v>
      </c>
      <c r="H29" s="77"/>
      <c r="I29" t="s" s="78">
        <v>50</v>
      </c>
      <c r="J29" s="176">
        <f>J13*J26</f>
        <v>8.53269846113499</v>
      </c>
      <c r="K29" t="s" s="76">
        <v>51</v>
      </c>
      <c r="L29" s="109"/>
      <c r="M29" s="83"/>
      <c r="N29" s="83"/>
      <c r="O29" s="110"/>
    </row>
    <row r="30" ht="20" customHeight="1">
      <c r="A30" t="s" s="116">
        <v>86</v>
      </c>
      <c r="B30" s="117">
        <f>B29/N5*100</f>
        <v>14.2857142857143</v>
      </c>
      <c r="C30" t="s" s="118">
        <v>87</v>
      </c>
      <c r="D30" s="119"/>
      <c r="E30" t="s" s="120">
        <v>86</v>
      </c>
      <c r="F30" s="121">
        <f>F29/N5*100</f>
        <v>40.5714285714286</v>
      </c>
      <c r="G30" t="s" s="122">
        <v>87</v>
      </c>
      <c r="H30" s="119"/>
      <c r="I30" t="s" s="120">
        <v>86</v>
      </c>
      <c r="J30" s="121">
        <f>J29/N5*100</f>
        <v>40.6318974339761</v>
      </c>
      <c r="K30" t="s" s="122">
        <v>87</v>
      </c>
      <c r="L30" s="123"/>
      <c r="M30" s="124"/>
      <c r="N30" s="124"/>
      <c r="O30" s="125"/>
    </row>
  </sheetData>
  <mergeCells count="1">
    <mergeCell ref="A28:C28"/>
  </mergeCells>
  <conditionalFormatting sqref="B25 F25 J25:J26">
    <cfRule type="cellIs" dxfId="2" priority="1" operator="lessThan" stopIfTrue="1">
      <formula>0</formula>
    </cfRule>
  </conditionalFormatting>
  <conditionalFormatting sqref="B30 F30 J30">
    <cfRule type="cellIs" dxfId="3" priority="1" operator="greaterThan" stopIfTrue="1">
      <formula>100</formula>
    </cfRule>
  </conditionalFormatting>
  <dataValidations count="1">
    <dataValidation type="list" allowBlank="1" showInputMessage="1" showErrorMessage="1" sqref="B6:B7">
      <formula1>"Sol,Mercury,Venus,Earth,Moon,Mars,Tycho,Anderson,Ceres,Pallas,Juno,Vesta,Ida,Gaspra,Jupiter,Saturn,Uranus,Neptune,Pluto"</formula1>
    </dataValidation>
  </dataValidation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sheetPr>
    <pageSetUpPr fitToPage="1"/>
  </sheetPr>
  <dimension ref="A1:X96"/>
  <sheetViews>
    <sheetView workbookViewId="0" showGridLines="0" defaultGridColor="1"/>
  </sheetViews>
  <sheetFormatPr defaultColWidth="16.3333" defaultRowHeight="19.6" customHeight="1" outlineLevelRow="0" outlineLevelCol="0"/>
  <cols>
    <col min="1" max="1" width="11.6719" style="179" customWidth="1"/>
    <col min="2" max="5" hidden="1" width="16.3333" style="179" customWidth="1"/>
    <col min="6" max="24" width="9.17188" style="179" customWidth="1"/>
    <col min="25" max="16384" width="16.3516" style="179" customWidth="1"/>
  </cols>
  <sheetData>
    <row r="1" ht="21" customHeight="1">
      <c r="A1" t="s" s="127">
        <v>114</v>
      </c>
      <c r="B1" s="180"/>
      <c r="C1" s="180"/>
      <c r="D1" s="180"/>
      <c r="E1" s="180"/>
      <c r="F1" s="161"/>
      <c r="G1" s="161"/>
      <c r="H1" s="161"/>
      <c r="I1" s="161"/>
      <c r="J1" s="161"/>
      <c r="K1" s="161"/>
      <c r="L1" s="161"/>
      <c r="M1" s="161"/>
      <c r="N1" s="161"/>
      <c r="O1" s="161"/>
      <c r="P1" s="161"/>
      <c r="Q1" s="161"/>
      <c r="R1" s="161"/>
      <c r="S1" s="161"/>
      <c r="T1" s="161"/>
      <c r="U1" s="161"/>
      <c r="V1" s="161"/>
      <c r="W1" s="161"/>
      <c r="X1" s="181"/>
    </row>
    <row r="2" ht="21" customHeight="1">
      <c r="A2" s="182"/>
      <c r="B2" s="180"/>
      <c r="C2" s="180"/>
      <c r="D2" s="180"/>
      <c r="E2" s="180"/>
      <c r="F2" s="180"/>
      <c r="G2" s="180"/>
      <c r="H2" s="180"/>
      <c r="I2" s="180"/>
      <c r="J2" s="180"/>
      <c r="K2" s="180"/>
      <c r="L2" s="180"/>
      <c r="M2" s="180"/>
      <c r="N2" s="180"/>
      <c r="O2" s="180"/>
      <c r="P2" s="180"/>
      <c r="Q2" s="180"/>
      <c r="R2" s="180"/>
      <c r="S2" s="180"/>
      <c r="T2" s="180"/>
      <c r="U2" s="180"/>
      <c r="V2" s="180"/>
      <c r="W2" s="180"/>
      <c r="X2" s="183"/>
    </row>
    <row r="3" ht="21" customHeight="1">
      <c r="A3" t="s" s="127">
        <v>115</v>
      </c>
      <c r="B3" s="180"/>
      <c r="C3" s="180"/>
      <c r="D3" s="180"/>
      <c r="E3" s="180"/>
      <c r="F3" s="161"/>
      <c r="G3" s="161"/>
      <c r="H3" s="161"/>
      <c r="I3" s="161"/>
      <c r="J3" s="161"/>
      <c r="K3" s="161"/>
      <c r="L3" s="161"/>
      <c r="M3" s="161"/>
      <c r="N3" s="161"/>
      <c r="O3" s="161"/>
      <c r="P3" s="161"/>
      <c r="Q3" s="161"/>
      <c r="R3" s="161"/>
      <c r="S3" s="161"/>
      <c r="T3" s="161"/>
      <c r="U3" s="161"/>
      <c r="V3" s="161"/>
      <c r="W3" s="161"/>
      <c r="X3" s="162"/>
    </row>
    <row r="4" ht="20" customHeight="1">
      <c r="A4" t="s" s="184">
        <v>116</v>
      </c>
      <c r="B4" s="185"/>
      <c r="C4" s="185"/>
      <c r="D4" s="185"/>
      <c r="E4" s="185"/>
      <c r="F4" t="s" s="186">
        <v>89</v>
      </c>
      <c r="G4" t="s" s="186">
        <v>90</v>
      </c>
      <c r="H4" t="s" s="186">
        <v>91</v>
      </c>
      <c r="I4" t="s" s="186">
        <v>49</v>
      </c>
      <c r="J4" t="s" s="186">
        <v>117</v>
      </c>
      <c r="K4" t="s" s="186">
        <v>93</v>
      </c>
      <c r="L4" t="s" s="186">
        <f>$A15</f>
        <v>118</v>
      </c>
      <c r="M4" t="s" s="186">
        <f>$A16</f>
        <v>119</v>
      </c>
      <c r="N4" t="s" s="186">
        <v>94</v>
      </c>
      <c r="O4" t="s" s="186">
        <v>120</v>
      </c>
      <c r="P4" t="s" s="186">
        <v>121</v>
      </c>
      <c r="Q4" t="s" s="186">
        <v>122</v>
      </c>
      <c r="R4" t="s" s="186">
        <v>123</v>
      </c>
      <c r="S4" t="s" s="186">
        <v>124</v>
      </c>
      <c r="T4" t="s" s="186">
        <v>97</v>
      </c>
      <c r="U4" t="s" s="186">
        <v>98</v>
      </c>
      <c r="V4" t="s" s="186">
        <v>99</v>
      </c>
      <c r="W4" t="s" s="186">
        <v>53</v>
      </c>
      <c r="X4" t="s" s="187">
        <v>100</v>
      </c>
    </row>
    <row r="5" ht="8" customHeight="1" hidden="1">
      <c r="A5" t="s" s="188">
        <v>125</v>
      </c>
      <c r="B5" s="189"/>
      <c r="C5" s="189"/>
      <c r="D5" s="189"/>
      <c r="E5" s="189"/>
      <c r="F5" s="189">
        <v>0</v>
      </c>
      <c r="G5" s="189">
        <v>0.3372472</v>
      </c>
      <c r="H5" s="189">
        <v>0.4595047</v>
      </c>
      <c r="I5" s="189">
        <v>0.1532678</v>
      </c>
      <c r="J5" s="189">
        <v>0.1506089</v>
      </c>
      <c r="K5" s="189">
        <v>0.9096571</v>
      </c>
      <c r="L5" s="189">
        <f>B15</f>
        <v>-1.86522889358593</v>
      </c>
      <c r="M5" s="189">
        <f>B16</f>
        <v>-0.9930947</v>
      </c>
      <c r="N5" s="189">
        <v>0.9930947</v>
      </c>
      <c r="O5" s="189">
        <v>-2.28899</v>
      </c>
      <c r="P5" s="189">
        <v>-2.4768699</v>
      </c>
      <c r="Q5" s="189">
        <v>-2.250651</v>
      </c>
      <c r="R5" s="189">
        <v>-2.880313</v>
      </c>
      <c r="S5" s="189">
        <v>-1.6309099</v>
      </c>
      <c r="T5" s="189">
        <v>-1.2792889</v>
      </c>
      <c r="U5" s="189">
        <v>8.4982895</v>
      </c>
      <c r="V5" s="189">
        <v>19.1253348</v>
      </c>
      <c r="W5" s="189">
        <v>29.8412732</v>
      </c>
      <c r="X5" s="190">
        <v>36.0692626</v>
      </c>
    </row>
    <row r="6" ht="8" customHeight="1" hidden="1">
      <c r="A6" t="s" s="188">
        <v>126</v>
      </c>
      <c r="B6" s="189"/>
      <c r="C6" s="189"/>
      <c r="D6" s="189"/>
      <c r="E6" s="189"/>
      <c r="F6" s="189">
        <v>0</v>
      </c>
      <c r="G6" s="189">
        <v>0.0761385</v>
      </c>
      <c r="H6" s="189">
        <v>-0.5637969</v>
      </c>
      <c r="I6" s="189">
        <v>-1.0046601</v>
      </c>
      <c r="J6" s="189">
        <v>-1.0041508</v>
      </c>
      <c r="K6" s="189">
        <v>-1.0620063</v>
      </c>
      <c r="L6" s="189">
        <f>C15</f>
        <v>-2.22361738856369</v>
      </c>
      <c r="M6" s="189">
        <f>C16</f>
        <v>2.7271443</v>
      </c>
      <c r="N6" s="189">
        <v>-2.7271443</v>
      </c>
      <c r="O6" s="189">
        <v>-0.7820095</v>
      </c>
      <c r="P6" s="189">
        <v>0.8883586</v>
      </c>
      <c r="Q6" s="189">
        <v>0.5950354</v>
      </c>
      <c r="R6" s="189">
        <v>0.1355898</v>
      </c>
      <c r="S6" s="189">
        <v>1.6116008</v>
      </c>
      <c r="T6" s="189">
        <v>-5.1583932</v>
      </c>
      <c r="U6" s="189">
        <v>3.9908825</v>
      </c>
      <c r="V6" s="189">
        <v>5.8325881</v>
      </c>
      <c r="W6" s="189">
        <v>-1.6458435</v>
      </c>
      <c r="X6" s="190">
        <v>30.2293871</v>
      </c>
    </row>
    <row r="7" ht="8" customHeight="1" hidden="1">
      <c r="A7" t="s" s="188">
        <v>127</v>
      </c>
      <c r="B7" s="189"/>
      <c r="C7" s="189"/>
      <c r="D7" s="189"/>
      <c r="E7" s="189"/>
      <c r="F7" s="189">
        <v>0</v>
      </c>
      <c r="G7" s="189">
        <v>-0.0272034</v>
      </c>
      <c r="H7" s="189">
        <v>-0.0327592</v>
      </c>
      <c r="I7" s="189">
        <v>0</v>
      </c>
      <c r="J7" s="189">
        <v>1.52e-05</v>
      </c>
      <c r="K7" s="189">
        <v>-0.0441679</v>
      </c>
      <c r="L7" s="189">
        <f>D15</f>
        <v>-0.08959166666666669</v>
      </c>
      <c r="M7" s="189">
        <f>D16</f>
        <v>0.268775</v>
      </c>
      <c r="N7" s="189">
        <v>-0.268775</v>
      </c>
      <c r="O7" s="189">
        <v>0.7319143</v>
      </c>
      <c r="P7" s="189">
        <v>-0.1011862</v>
      </c>
      <c r="Q7" s="189">
        <v>0.2559016</v>
      </c>
      <c r="R7" s="189">
        <v>-0.0312683</v>
      </c>
      <c r="S7" s="189">
        <v>-0.1454406</v>
      </c>
      <c r="T7" s="189">
        <v>0.0512867</v>
      </c>
      <c r="U7" s="189">
        <v>-0.4057796</v>
      </c>
      <c r="V7" s="189">
        <v>-0.2241249</v>
      </c>
      <c r="W7" s="189">
        <v>-0.596949</v>
      </c>
      <c r="X7" s="190">
        <v>-14.0103531</v>
      </c>
    </row>
    <row r="8" ht="8" customHeight="1" hidden="1">
      <c r="A8" t="s" s="188">
        <v>116</v>
      </c>
      <c r="B8" t="s" s="191">
        <v>125</v>
      </c>
      <c r="C8" t="s" s="191">
        <v>126</v>
      </c>
      <c r="D8" t="s" s="191">
        <v>127</v>
      </c>
      <c r="E8" s="189"/>
      <c r="F8" s="135">
        <v>1</v>
      </c>
      <c r="G8" s="135">
        <v>2</v>
      </c>
      <c r="H8" s="135">
        <v>3</v>
      </c>
      <c r="I8" s="135">
        <v>4</v>
      </c>
      <c r="J8" s="135">
        <v>5</v>
      </c>
      <c r="K8" s="135">
        <v>6</v>
      </c>
      <c r="L8" s="135">
        <v>7</v>
      </c>
      <c r="M8" s="135">
        <v>8</v>
      </c>
      <c r="N8" s="135">
        <v>9</v>
      </c>
      <c r="O8" s="135">
        <v>10</v>
      </c>
      <c r="P8" s="135">
        <v>11</v>
      </c>
      <c r="Q8" s="135">
        <v>12</v>
      </c>
      <c r="R8" s="135">
        <v>13</v>
      </c>
      <c r="S8" s="135">
        <v>14</v>
      </c>
      <c r="T8" s="135">
        <v>15</v>
      </c>
      <c r="U8" s="135">
        <v>16</v>
      </c>
      <c r="V8" s="135">
        <v>17</v>
      </c>
      <c r="W8" s="135">
        <v>18</v>
      </c>
      <c r="X8" s="136">
        <v>19</v>
      </c>
    </row>
    <row r="9" ht="19" customHeight="1">
      <c r="A9" t="s" s="137">
        <v>89</v>
      </c>
      <c r="B9" s="189">
        <v>0</v>
      </c>
      <c r="C9" s="189">
        <v>0</v>
      </c>
      <c r="D9" s="189">
        <v>0</v>
      </c>
      <c r="E9" s="189">
        <v>0</v>
      </c>
      <c r="F9" s="189">
        <f>SQRT((F$5-$B9)^2+(F$6-$C9)^2+(F$7-$D9)^2)</f>
        <v>0</v>
      </c>
      <c r="G9" s="189">
        <f>SQRT((G$5-$B9)^2+(G$6-$C9)^2+(G$7-$D9)^2)</f>
        <v>0.346803647705225</v>
      </c>
      <c r="H9" s="189">
        <f>SQRT((H$5-$B9)^2+(H$6-$C9)^2+(H$7-$D9)^2)</f>
        <v>0.728069144351235</v>
      </c>
      <c r="I9" s="189">
        <f>SQRT((I$5-$B9)^2+(I$6-$C9)^2+(I$7-$D9)^2)</f>
        <v>1.01628388506797</v>
      </c>
      <c r="J9" s="189">
        <f>SQRT((J$5-$B9)^2+(J$6-$C9)^2+(J$7-$D9)^2)</f>
        <v>1.01538262252753</v>
      </c>
      <c r="K9" s="189">
        <f>SQRT((K$5-$B9)^2+(K$6-$C9)^2+(K$7-$D9)^2)</f>
        <v>1.39902974386198</v>
      </c>
      <c r="L9" s="189">
        <f>SQRT((L$5-$B9)^2+(L$6-$C9)^2+(L$7-$D9)^2)</f>
        <v>2.90371826851826</v>
      </c>
      <c r="M9" s="189">
        <f>SQRT((M$5-$B9)^2+(M$6-$C9)^2+(M$7-$D9)^2)</f>
        <v>2.91475438361718</v>
      </c>
      <c r="N9" s="189">
        <f>SQRT((N$5-$B9)^2+(N$6-$C9)^2+(N$7-$D9)^2)</f>
        <v>2.91475438361718</v>
      </c>
      <c r="O9" s="189">
        <f>SQRT((O$5-$B9)^2+(O$6-$C9)^2+(O$7-$D9)^2)</f>
        <v>2.52719461473285</v>
      </c>
      <c r="P9" s="189">
        <f>SQRT((P$5-$B9)^2+(P$6-$C9)^2+(P$7-$D9)^2)</f>
        <v>2.63330669516302</v>
      </c>
      <c r="Q9" s="189">
        <f>SQRT((Q$5-$B9)^2+(Q$6-$C9)^2+(Q$7-$D9)^2)</f>
        <v>2.3420039880275</v>
      </c>
      <c r="R9" s="189">
        <f>SQRT((R$5-$B9)^2+(R$6-$C9)^2+(R$7-$D9)^2)</f>
        <v>2.88367218636549</v>
      </c>
      <c r="S9" s="189">
        <f>SQRT((S$5-$B9)^2+(S$6-$C9)^2+(S$7-$D9)^2)</f>
        <v>2.29745015367189</v>
      </c>
      <c r="T9" s="189">
        <f>SQRT((T$5-$B9)^2+(T$6-$C9)^2+(T$7-$D9)^2)</f>
        <v>5.31490647340725</v>
      </c>
      <c r="U9" s="189">
        <f>SQRT((U$5-$B9)^2+(U$6-$C9)^2+(U$7-$D9)^2)</f>
        <v>9.39748501666231</v>
      </c>
      <c r="V9" s="189">
        <f>SQRT((V$5-$B9)^2+(V$6-$C9)^2+(V$7-$D9)^2)</f>
        <v>19.9961933159077</v>
      </c>
      <c r="W9" s="189">
        <f>SQRT((W$5-$B9)^2+(W$6-$C9)^2+(W$7-$D9)^2)</f>
        <v>29.8925866249833</v>
      </c>
      <c r="X9" s="190">
        <f>SQRT((X$5-$B9)^2+(X$6-$C9)^2+(X$7-$D9)^2)</f>
        <v>49.1029280484992</v>
      </c>
    </row>
    <row r="10" ht="19" customHeight="1">
      <c r="A10" t="s" s="137">
        <v>90</v>
      </c>
      <c r="B10" s="189">
        <v>0.3372472</v>
      </c>
      <c r="C10" s="189">
        <v>0.0761385</v>
      </c>
      <c r="D10" s="189">
        <v>-0.0272034</v>
      </c>
      <c r="E10" s="189">
        <f>ATAN(C10/B10)</f>
        <v>0.222042139018269</v>
      </c>
      <c r="F10" s="189">
        <f>SQRT((F$5-$B10)^2+(F$6-$C10)^2+(F$7-$D10)^2)</f>
        <v>0.346803647705225</v>
      </c>
      <c r="G10" s="189">
        <f>SQRT((G$5-$B10)^2+(G$6-$C10)^2+(G$7-$D10)^2)</f>
        <v>0</v>
      </c>
      <c r="H10" s="189">
        <f>SQRT((H$5-$B10)^2+(H$6-$C10)^2+(H$7-$D10)^2)</f>
        <v>0.651532869004358</v>
      </c>
      <c r="I10" s="189">
        <f>SQRT((I$5-$B10)^2+(I$6-$C10)^2+(I$7-$D10)^2)</f>
        <v>1.09668320783984</v>
      </c>
      <c r="J10" s="189">
        <f>SQRT((J$5-$B10)^2+(J$6-$C10)^2+(J$7-$D10)^2)</f>
        <v>1.09663105870085</v>
      </c>
      <c r="K10" s="189">
        <f>SQRT((K$5-$B10)^2+(K$6-$C10)^2+(K$7-$D10)^2)</f>
        <v>1.27409358904489</v>
      </c>
      <c r="L10" s="189">
        <f>SQRT((L$5-$B10)^2+(L$6-$C10)^2+(L$7-$D10)^2)</f>
        <v>3.18491293218803</v>
      </c>
      <c r="M10" s="189">
        <f>SQRT((M$5-$B10)^2+(M$6-$C10)^2+(M$7-$D10)^2)</f>
        <v>2.98081273074908</v>
      </c>
      <c r="N10" s="189">
        <f>SQRT((N$5-$B10)^2+(N$6-$C10)^2+(N$7-$D10)^2)</f>
        <v>2.88909799729235</v>
      </c>
      <c r="O10" s="189">
        <f>SQRT((O$5-$B10)^2+(O$6-$C10)^2+(O$7-$D10)^2)</f>
        <v>2.86527476920122</v>
      </c>
      <c r="P10" s="189">
        <f>SQRT((P$5-$B10)^2+(P$6-$C10)^2+(P$7-$D10)^2)</f>
        <v>2.92991979379168</v>
      </c>
      <c r="Q10" s="189">
        <f>SQRT((Q$5-$B10)^2+(Q$6-$C10)^2+(Q$7-$D10)^2)</f>
        <v>2.65454695332704</v>
      </c>
      <c r="R10" s="189">
        <f>SQRT((R$5-$B10)^2+(R$6-$C10)^2+(R$7-$D10)^2)</f>
        <v>3.21811196528457</v>
      </c>
      <c r="S10" s="189">
        <f>SQRT((S$5-$B10)^2+(S$6-$C10)^2+(S$7-$D10)^2)</f>
        <v>2.49905319680585</v>
      </c>
      <c r="T10" s="189">
        <f>SQRT((T$5-$B10)^2+(T$6-$C10)^2+(T$7-$D10)^2)</f>
        <v>5.47902106007142</v>
      </c>
      <c r="U10" s="189">
        <f>SQRT((U$5-$B10)^2+(U$6-$C10)^2+(U$7-$D10)^2)</f>
        <v>9.059312995317679</v>
      </c>
      <c r="V10" s="189">
        <f>SQRT((V$5-$B10)^2+(V$6-$C10)^2+(V$7-$D10)^2)</f>
        <v>19.6511507484874</v>
      </c>
      <c r="W10" s="189">
        <f>SQRT((W$5-$B10)^2+(W$6-$C10)^2+(W$7-$D10)^2)</f>
        <v>29.5597256798117</v>
      </c>
      <c r="X10" s="190">
        <f>SQRT((X$5-$B10)^2+(X$6-$C10)^2+(X$7-$D10)^2)</f>
        <v>48.8008586114205</v>
      </c>
    </row>
    <row r="11" ht="19" customHeight="1">
      <c r="A11" t="s" s="137">
        <v>91</v>
      </c>
      <c r="B11" s="189">
        <v>0.4595047</v>
      </c>
      <c r="C11" s="189">
        <v>-0.5637969</v>
      </c>
      <c r="D11" s="189">
        <v>-0.0327592</v>
      </c>
      <c r="E11" s="189">
        <f>ATAN(C11/B11)</f>
        <v>-0.886964831896239</v>
      </c>
      <c r="F11" s="189">
        <f>SQRT((F$5-$B11)^2+(F$6-$C11)^2+(F$7-$D11)^2)</f>
        <v>0.728069144351235</v>
      </c>
      <c r="G11" s="189">
        <f>SQRT((G$5-$B11)^2+(G$6-$C11)^2+(G$7-$D11)^2)</f>
        <v>0.651532869004358</v>
      </c>
      <c r="H11" s="189">
        <f>SQRT((H$5-$B11)^2+(H$6-$C11)^2+(H$7-$D11)^2)</f>
        <v>0</v>
      </c>
      <c r="I11" s="189">
        <f>SQRT((I$5-$B11)^2+(I$6-$C11)^2+(I$7-$D11)^2)</f>
        <v>0.537786728378909</v>
      </c>
      <c r="J11" s="189">
        <f>SQRT((J$5-$B11)^2+(J$6-$C11)^2+(J$7-$D11)^2)</f>
        <v>0.538889908792334</v>
      </c>
      <c r="K11" s="189">
        <f>SQRT((K$5-$B11)^2+(K$6-$C11)^2+(K$7-$D11)^2)</f>
        <v>0.671550406082678</v>
      </c>
      <c r="L11" s="189">
        <f>SQRT((L$5-$B11)^2+(L$6-$C11)^2+(L$7-$D11)^2)</f>
        <v>2.8570299726587</v>
      </c>
      <c r="M11" s="189">
        <f>SQRT((M$5-$B11)^2+(M$6-$C11)^2+(M$7-$D11)^2)</f>
        <v>3.60988391399328</v>
      </c>
      <c r="N11" s="189">
        <f>SQRT((N$5-$B11)^2+(N$6-$C11)^2+(N$7-$D11)^2)</f>
        <v>2.24064582632695</v>
      </c>
      <c r="O11" s="189">
        <f>SQRT((O$5-$B11)^2+(O$6-$C11)^2+(O$7-$D11)^2)</f>
        <v>2.86121747099536</v>
      </c>
      <c r="P11" s="189">
        <f>SQRT((P$5-$B11)^2+(P$6-$C11)^2+(P$7-$D11)^2)</f>
        <v>3.27654294066695</v>
      </c>
      <c r="Q11" s="189">
        <f>SQRT((Q$5-$B11)^2+(Q$6-$C11)^2+(Q$7-$D11)^2)</f>
        <v>2.96161463989197</v>
      </c>
      <c r="R11" s="189">
        <f>SQRT((R$5-$B11)^2+(R$6-$C11)^2+(R$7-$D11)^2)</f>
        <v>3.41226116353262</v>
      </c>
      <c r="S11" s="189">
        <f>SQRT((S$5-$B11)^2+(S$6-$C11)^2+(S$7-$D11)^2)</f>
        <v>3.01908685714148</v>
      </c>
      <c r="T11" s="189">
        <f>SQRT((T$5-$B11)^2+(T$6-$C11)^2+(T$7-$D11)^2)</f>
        <v>4.91332698450667</v>
      </c>
      <c r="U11" s="189">
        <f>SQRT((U$5-$B11)^2+(U$6-$C11)^2+(U$7-$D11)^2)</f>
        <v>9.24696218854125</v>
      </c>
      <c r="V11" s="189">
        <f>SQRT((V$5-$B11)^2+(V$6-$C11)^2+(V$7-$D11)^2)</f>
        <v>19.7322977684158</v>
      </c>
      <c r="W11" s="189">
        <f>SQRT((W$5-$B11)^2+(W$6-$C11)^2+(W$7-$D11)^2)</f>
        <v>29.4070987205911</v>
      </c>
      <c r="X11" s="190">
        <f>SQRT((X$5-$B11)^2+(X$6-$C11)^2+(X$7-$D11)^2)</f>
        <v>49.1085345921438</v>
      </c>
    </row>
    <row r="12" ht="19" customHeight="1">
      <c r="A12" t="s" s="137">
        <v>49</v>
      </c>
      <c r="B12" s="189">
        <v>0.1532678</v>
      </c>
      <c r="C12" s="189">
        <v>-1.0046601</v>
      </c>
      <c r="D12" s="189">
        <v>0</v>
      </c>
      <c r="E12" s="189">
        <f>ATAN(C12/B12)</f>
        <v>-1.41940671590034</v>
      </c>
      <c r="F12" s="189">
        <f>SQRT((F$5-$B12)^2+(F$6-$C12)^2+(F$7-$D12)^2)</f>
        <v>1.01628388506797</v>
      </c>
      <c r="G12" s="189">
        <f>SQRT((G$5-$B12)^2+(G$6-$C12)^2+(G$7-$D12)^2)</f>
        <v>1.09668320783984</v>
      </c>
      <c r="H12" s="189">
        <f>SQRT((H$5-$B12)^2+(H$6-$C12)^2+(H$7-$D12)^2)</f>
        <v>0.537786728378909</v>
      </c>
      <c r="I12" s="189">
        <f>SQRT((I$5-$B12)^2+(I$6-$C12)^2+(I$7-$D12)^2)</f>
        <v>0</v>
      </c>
      <c r="J12" s="189">
        <f>SQRT((J$5-$B12)^2+(J$6-$C12)^2+(J$7-$D12)^2)</f>
        <v>0.00270728032165123</v>
      </c>
      <c r="K12" s="189">
        <f>SQRT((K$5-$B12)^2+(K$6-$C12)^2+(K$7-$D12)^2)</f>
        <v>0.759844828369148</v>
      </c>
      <c r="L12" s="189">
        <f>SQRT((L$5-$B12)^2+(L$6-$C12)^2+(L$7-$D12)^2)</f>
        <v>2.35970600713224</v>
      </c>
      <c r="M12" s="189">
        <f>SQRT((M$5-$B12)^2+(M$6-$C12)^2+(M$7-$D12)^2)</f>
        <v>3.9131510400048</v>
      </c>
      <c r="N12" s="189">
        <f>SQRT((N$5-$B12)^2+(N$6-$C12)^2+(N$7-$D12)^2)</f>
        <v>1.93507132732575</v>
      </c>
      <c r="O12" s="189">
        <f>SQRT((O$5-$B12)^2+(O$6-$C12)^2+(O$7-$D12)^2)</f>
        <v>2.55927626368974</v>
      </c>
      <c r="P12" s="189">
        <f>SQRT((P$5-$B12)^2+(P$6-$C12)^2+(P$7-$D12)^2)</f>
        <v>3.24212627246093</v>
      </c>
      <c r="Q12" s="189">
        <f>SQRT((Q$5-$B12)^2+(Q$6-$C12)^2+(Q$7-$D12)^2)</f>
        <v>2.89885096522678</v>
      </c>
      <c r="R12" s="189">
        <f>SQRT((R$5-$B12)^2+(R$6-$C12)^2+(R$7-$D12)^2)</f>
        <v>3.24095047959137</v>
      </c>
      <c r="S12" s="189">
        <f>SQRT((S$5-$B12)^2+(S$6-$C12)^2+(S$7-$D12)^2)</f>
        <v>3.17005743326118</v>
      </c>
      <c r="T12" s="189">
        <f>SQRT((T$5-$B12)^2+(T$6-$C12)^2+(T$7-$D12)^2)</f>
        <v>4.39412649912897</v>
      </c>
      <c r="U12" s="189">
        <f>SQRT((U$5-$B12)^2+(U$6-$C12)^2+(U$7-$D12)^2)</f>
        <v>9.734448629771579</v>
      </c>
      <c r="V12" s="189">
        <f>SQRT((V$5-$B12)^2+(V$6-$C12)^2+(V$7-$D12)^2)</f>
        <v>20.1677346564182</v>
      </c>
      <c r="W12" s="189">
        <f>SQRT((W$5-$B12)^2+(W$6-$C12)^2+(W$7-$D12)^2)</f>
        <v>29.7009280813153</v>
      </c>
      <c r="X12" s="190">
        <f>SQRT((X$5-$B12)^2+(X$6-$C12)^2+(X$7-$D12)^2)</f>
        <v>49.6166744245534</v>
      </c>
    </row>
    <row r="13" ht="19" customHeight="1">
      <c r="A13" t="s" s="137">
        <v>117</v>
      </c>
      <c r="B13" s="189">
        <v>0.1506089</v>
      </c>
      <c r="C13" s="189">
        <v>-1.0041508</v>
      </c>
      <c r="D13" s="189">
        <v>1.52e-05</v>
      </c>
      <c r="E13" s="189">
        <f>ATAN(C13/B13)</f>
        <v>-1.4219197418395</v>
      </c>
      <c r="F13" s="189">
        <f>SQRT((F$5-$B13)^2+(F$6-$C13)^2+(F$7-$D13)^2)</f>
        <v>1.01538262252753</v>
      </c>
      <c r="G13" s="189">
        <f>SQRT((G$5-$B13)^2+(G$6-$C13)^2+(G$7-$D13)^2)</f>
        <v>1.09663105870085</v>
      </c>
      <c r="H13" s="189">
        <f>SQRT((H$5-$B13)^2+(H$6-$C13)^2+(H$7-$D13)^2)</f>
        <v>0.538889908792334</v>
      </c>
      <c r="I13" s="189">
        <f>SQRT((I$5-$B13)^2+(I$6-$C13)^2+(I$7-$D13)^2)</f>
        <v>0.00270728032165123</v>
      </c>
      <c r="J13" s="189">
        <f>SQRT((J$5-$B13)^2+(J$6-$C13)^2+(J$7-$D13)^2)</f>
        <v>0</v>
      </c>
      <c r="K13" s="189">
        <f>SQRT((K$5-$B13)^2+(K$6-$C13)^2+(K$7-$D13)^2)</f>
        <v>0.762531032240066</v>
      </c>
      <c r="L13" s="189">
        <f>SQRT((L$5-$B13)^2+(L$6-$C13)^2+(L$7-$D13)^2)</f>
        <v>2.35769594333671</v>
      </c>
      <c r="M13" s="189">
        <f>SQRT((M$5-$B13)^2+(M$6-$C13)^2+(M$7-$D13)^2)</f>
        <v>3.91188610238501</v>
      </c>
      <c r="N13" s="189">
        <f>SQRT((N$5-$B13)^2+(N$6-$C13)^2+(N$7-$D13)^2)</f>
        <v>1.93668198108516</v>
      </c>
      <c r="O13" s="189">
        <f>SQRT((O$5-$B13)^2+(O$6-$C13)^2+(O$7-$D13)^2)</f>
        <v>2.55669040805251</v>
      </c>
      <c r="P13" s="189">
        <f>SQRT((P$5-$B13)^2+(P$6-$C13)^2+(P$7-$D13)^2)</f>
        <v>3.23967257556991</v>
      </c>
      <c r="Q13" s="189">
        <f>SQRT((Q$5-$B13)^2+(Q$6-$C13)^2+(Q$7-$D13)^2)</f>
        <v>2.89636383407254</v>
      </c>
      <c r="R13" s="189">
        <f>SQRT((R$5-$B13)^2+(R$6-$C13)^2+(R$7-$D13)^2)</f>
        <v>3.23828270176651</v>
      </c>
      <c r="S13" s="189">
        <f>SQRT((S$5-$B13)^2+(S$6-$C13)^2+(S$7-$D13)^2)</f>
        <v>3.16814189350945</v>
      </c>
      <c r="T13" s="189">
        <f>SQRT((T$5-$B13)^2+(T$6-$C13)^2+(T$7-$D13)^2)</f>
        <v>4.39374173149889</v>
      </c>
      <c r="U13" s="189">
        <f>SQRT((U$5-$B13)^2+(U$6-$C13)^2+(U$7-$D13)^2)</f>
        <v>9.73646745423782</v>
      </c>
      <c r="V13" s="189">
        <f>SQRT((V$5-$B13)^2+(V$6-$C13)^2+(V$7-$D13)^2)</f>
        <v>20.1700634741523</v>
      </c>
      <c r="W13" s="189">
        <f>SQRT((W$5-$B13)^2+(W$6-$C13)^2+(W$7-$D13)^2)</f>
        <v>29.7035971281697</v>
      </c>
      <c r="X13" s="190">
        <f>SQRT((X$5-$B13)^2+(X$6-$C13)^2+(X$7-$D13)^2)</f>
        <v>49.6182828529253</v>
      </c>
    </row>
    <row r="14" ht="19" customHeight="1">
      <c r="A14" t="s" s="137">
        <v>93</v>
      </c>
      <c r="B14" s="189">
        <v>0.9096571</v>
      </c>
      <c r="C14" s="189">
        <v>-1.0620063</v>
      </c>
      <c r="D14" s="189">
        <v>-0.0441679</v>
      </c>
      <c r="E14" s="189">
        <f>ATAN(C14/B14)</f>
        <v>-0.862514307258232</v>
      </c>
      <c r="F14" s="189">
        <f>SQRT((F$5-$B14)^2+(F$6-$C14)^2+(F$7-$D14)^2)</f>
        <v>1.39902974386198</v>
      </c>
      <c r="G14" s="189">
        <f>SQRT((G$5-$B14)^2+(G$6-$C14)^2+(G$7-$D14)^2)</f>
        <v>1.27409358904489</v>
      </c>
      <c r="H14" s="189">
        <f>SQRT((H$5-$B14)^2+(H$6-$C14)^2+(H$7-$D14)^2)</f>
        <v>0.671550406082678</v>
      </c>
      <c r="I14" s="189">
        <f>SQRT((I$5-$B14)^2+(I$6-$C14)^2+(I$7-$D14)^2)</f>
        <v>0.759844828369148</v>
      </c>
      <c r="J14" s="189">
        <f>SQRT((J$5-$B14)^2+(J$6-$C14)^2+(J$7-$D14)^2)</f>
        <v>0.762531032240066</v>
      </c>
      <c r="K14" s="189">
        <f>SQRT((K$5-$B14)^2+(K$6-$C14)^2+(K$7-$D14)^2)</f>
        <v>0</v>
      </c>
      <c r="L14" s="189">
        <f>SQRT((L$5-$B14)^2+(L$6-$C14)^2+(L$7-$D14)^2)</f>
        <v>3.00855379161678</v>
      </c>
      <c r="M14" s="189">
        <f>SQRT((M$5-$B14)^2+(M$6-$C14)^2+(M$7-$D14)^2)</f>
        <v>4.25159498783033</v>
      </c>
      <c r="N14" s="189">
        <f>SQRT((N$5-$B14)^2+(N$6-$C14)^2+(N$7-$D14)^2)</f>
        <v>1.68228854288085</v>
      </c>
      <c r="O14" s="189">
        <f>SQRT((O$5-$B14)^2+(O$6-$C14)^2+(O$7-$D14)^2)</f>
        <v>3.30333847183504</v>
      </c>
      <c r="P14" s="189">
        <f>SQRT((P$5-$B14)^2+(P$6-$C14)^2+(P$7-$D14)^2)</f>
        <v>3.90841904757101</v>
      </c>
      <c r="Q14" s="189">
        <f>SQRT((Q$5-$B14)^2+(Q$6-$C14)^2+(Q$7-$D14)^2)</f>
        <v>3.58097419528468</v>
      </c>
      <c r="R14" s="189">
        <f>SQRT((R$5-$B14)^2+(R$6-$C14)^2+(R$7-$D14)^2)</f>
        <v>3.97470453962422</v>
      </c>
      <c r="S14" s="189">
        <f>SQRT((S$5-$B14)^2+(S$6-$C14)^2+(S$7-$D14)^2)</f>
        <v>3.68956796473851</v>
      </c>
      <c r="T14" s="189">
        <f>SQRT((T$5-$B14)^2+(T$6-$C14)^2+(T$7-$D14)^2)</f>
        <v>4.64553353298292</v>
      </c>
      <c r="U14" s="189">
        <f>SQRT((U$5-$B14)^2+(U$6-$C14)^2+(U$7-$D14)^2)</f>
        <v>9.12413228472013</v>
      </c>
      <c r="V14" s="189">
        <f>SQRT((V$5-$B14)^2+(V$6-$C14)^2+(V$7-$D14)^2)</f>
        <v>19.4776469454767</v>
      </c>
      <c r="W14" s="189">
        <f>SQRT((W$5-$B14)^2+(W$6-$C14)^2+(W$7-$D14)^2)</f>
        <v>28.9427856810363</v>
      </c>
      <c r="X14" s="190">
        <f>SQRT((X$5-$B14)^2+(X$6-$C14)^2+(X$7-$D14)^2)</f>
        <v>49.0958602009364</v>
      </c>
    </row>
    <row r="15" ht="19" customHeight="1">
      <c r="A15" t="s" s="137">
        <v>95</v>
      </c>
      <c r="B15" s="189">
        <f>B17*COS(PI()/3)+C17*SIN(PI()/3)</f>
        <v>-1.86522889358593</v>
      </c>
      <c r="C15" s="189">
        <f>B17*-SIN(PI()/3)+C17*COS(PI()/3)</f>
        <v>-2.22361738856369</v>
      </c>
      <c r="D15" s="189">
        <f>D17/3</f>
        <v>-0.08959166666666669</v>
      </c>
      <c r="E15" s="189">
        <f>ATAN(C15/B15)</f>
        <v>0.8728250061217711</v>
      </c>
      <c r="F15" s="189">
        <f>SQRT((F$5-$B15)^2+(F$6-$C15)^2+(F$7-$D15)^2)</f>
        <v>2.90371826851826</v>
      </c>
      <c r="G15" s="189">
        <f>SQRT((G$5-$B15)^2+(G$6-$C15)^2+(G$7-$D15)^2)</f>
        <v>3.18491293218803</v>
      </c>
      <c r="H15" s="189">
        <f>SQRT((H$5-$B15)^2+(H$6-$C15)^2+(H$7-$D15)^2)</f>
        <v>2.8570299726587</v>
      </c>
      <c r="I15" s="189">
        <f>SQRT((I$5-$B15)^2+(I$6-$C15)^2+(I$7-$D15)^2)</f>
        <v>2.35970600713224</v>
      </c>
      <c r="J15" s="189">
        <f>SQRT((J$5-$B15)^2+(J$6-$C15)^2+(J$7-$D15)^2)</f>
        <v>2.35769594333671</v>
      </c>
      <c r="K15" s="189">
        <f>SQRT((K$5-$B15)^2+(K$6-$C15)^2+(K$7-$D15)^2)</f>
        <v>3.00855379161678</v>
      </c>
      <c r="L15" s="189">
        <f>SQRT((L$5-$B15)^2+(L$6-$C15)^2+(L$7-$D15)^2)</f>
        <v>0</v>
      </c>
      <c r="M15" s="189">
        <f>SQRT((M$5-$B15)^2+(M$6-$C15)^2+(M$7-$D15)^2)</f>
        <v>5.03975059068894</v>
      </c>
      <c r="N15" s="189">
        <f>SQRT((N$5-$B15)^2+(N$6-$C15)^2+(N$7-$D15)^2)</f>
        <v>2.90786172008488</v>
      </c>
      <c r="O15" s="189">
        <f>SQRT((O$5-$B15)^2+(O$6-$C15)^2+(O$7-$D15)^2)</f>
        <v>1.71250659354855</v>
      </c>
      <c r="P15" s="189">
        <f>SQRT((P$5-$B15)^2+(P$6-$C15)^2+(P$7-$D15)^2)</f>
        <v>3.17153491346499</v>
      </c>
      <c r="Q15" s="189">
        <f>SQRT((Q$5-$B15)^2+(Q$6-$C15)^2+(Q$7-$D15)^2)</f>
        <v>2.86578424517662</v>
      </c>
      <c r="R15" s="189">
        <f>SQRT((R$5-$B15)^2+(R$6-$C15)^2+(R$7-$D15)^2)</f>
        <v>2.56897954775128</v>
      </c>
      <c r="S15" s="189">
        <f>SQRT((S$5-$B15)^2+(S$6-$C15)^2+(S$7-$D15)^2)</f>
        <v>3.84277543554126</v>
      </c>
      <c r="T15" s="189">
        <f>SQRT((T$5-$B15)^2+(T$6-$C15)^2+(T$7-$D15)^2)</f>
        <v>2.99601092348973</v>
      </c>
      <c r="U15" s="189">
        <f>SQRT((U$5-$B15)^2+(U$6-$C15)^2+(U$7-$D15)^2)</f>
        <v>12.0881138796893</v>
      </c>
      <c r="V15" s="189">
        <f>SQRT((V$5-$B15)^2+(V$6-$C15)^2+(V$7-$D15)^2)</f>
        <v>22.4838677775716</v>
      </c>
      <c r="W15" s="189">
        <f>SQRT((W$5-$B15)^2+(W$6-$C15)^2+(W$7-$D15)^2)</f>
        <v>31.7158242702371</v>
      </c>
      <c r="X15" s="190">
        <f>SQRT((X$5-$B15)^2+(X$6-$C15)^2+(X$7-$D15)^2)</f>
        <v>51.8267377334852</v>
      </c>
    </row>
    <row r="16" ht="19" customHeight="1">
      <c r="A16" t="s" s="137">
        <v>96</v>
      </c>
      <c r="B16" s="189">
        <f>-B17</f>
        <v>-0.9930947</v>
      </c>
      <c r="C16" s="189">
        <f>-C17</f>
        <v>2.7271443</v>
      </c>
      <c r="D16" s="189">
        <f>-D17</f>
        <v>0.268775</v>
      </c>
      <c r="E16" s="189">
        <f>ATAN(C16/B16)</f>
        <v>-1.22157009627143</v>
      </c>
      <c r="F16" s="189">
        <f>SQRT((F$5-$B16)^2+(F$6-$C16)^2+(F$7-$D16)^2)</f>
        <v>2.91475438361718</v>
      </c>
      <c r="G16" s="189">
        <f>SQRT((G$5-$B16)^2+(G$6-$C16)^2+(G$7-$D16)^2)</f>
        <v>2.98081273074908</v>
      </c>
      <c r="H16" s="189">
        <f>SQRT((H$5-$B16)^2+(H$6-$C16)^2+(H$7-$D16)^2)</f>
        <v>3.60988391399328</v>
      </c>
      <c r="I16" s="189">
        <f>SQRT((I$5-$B16)^2+(I$6-$C16)^2+(I$7-$D16)^2)</f>
        <v>3.9131510400048</v>
      </c>
      <c r="J16" s="189">
        <f>SQRT((J$5-$B16)^2+(J$6-$C16)^2+(J$7-$D16)^2)</f>
        <v>3.91188610238501</v>
      </c>
      <c r="K16" s="189">
        <f>SQRT((K$5-$B16)^2+(K$6-$C16)^2+(K$7-$D16)^2)</f>
        <v>4.25159498783033</v>
      </c>
      <c r="L16" s="189">
        <f>SQRT((L$5-$B16)^2+(L$6-$C16)^2+(L$7-$D16)^2)</f>
        <v>5.03975059068894</v>
      </c>
      <c r="M16" s="189">
        <f>SQRT((M$5-$B16)^2+(M$6-$C16)^2+(M$7-$D16)^2)</f>
        <v>0</v>
      </c>
      <c r="N16" s="189">
        <f>SQRT((N$5-$B16)^2+(N$6-$C16)^2+(N$7-$D16)^2)</f>
        <v>5.82950876723436</v>
      </c>
      <c r="O16" s="189">
        <f>SQRT((O$5-$B16)^2+(O$6-$C16)^2+(O$7-$D16)^2)</f>
        <v>3.76935047877231</v>
      </c>
      <c r="P16" s="189">
        <f>SQRT((P$5-$B16)^2+(P$6-$C16)^2+(P$7-$D16)^2)</f>
        <v>2.39156705617153</v>
      </c>
      <c r="Q16" s="189">
        <f>SQRT((Q$5-$B16)^2+(Q$6-$C16)^2+(Q$7-$D16)^2)</f>
        <v>2.47537914945498</v>
      </c>
      <c r="R16" s="189">
        <f>SQRT((R$5-$B16)^2+(R$6-$C16)^2+(R$7-$D16)^2)</f>
        <v>3.21990273458687</v>
      </c>
      <c r="S16" s="189">
        <f>SQRT((S$5-$B16)^2+(S$6-$C16)^2+(S$7-$D16)^2)</f>
        <v>1.35011854776781</v>
      </c>
      <c r="T16" s="189">
        <f>SQRT((T$5-$B16)^2+(T$6-$C16)^2+(T$7-$D16)^2)</f>
        <v>7.89372598616501</v>
      </c>
      <c r="U16" s="189">
        <f>SQRT((U$5-$B16)^2+(U$6-$C16)^2+(U$7-$D16)^2)</f>
        <v>9.598876610235701</v>
      </c>
      <c r="V16" s="189">
        <f>SQRT((V$5-$B16)^2+(V$6-$C16)^2+(V$7-$D16)^2)</f>
        <v>20.3626603628516</v>
      </c>
      <c r="W16" s="189">
        <f>SQRT((W$5-$B16)^2+(W$6-$C16)^2+(W$7-$D16)^2)</f>
        <v>31.1549473460585</v>
      </c>
      <c r="X16" s="190">
        <f>SQRT((X$5-$B16)^2+(X$6-$C16)^2+(X$7-$D16)^2)</f>
        <v>48.3103010439722</v>
      </c>
    </row>
    <row r="17" ht="19" customHeight="1">
      <c r="A17" t="s" s="137">
        <v>94</v>
      </c>
      <c r="B17" s="189">
        <v>0.9930947</v>
      </c>
      <c r="C17" s="189">
        <v>-2.7271443</v>
      </c>
      <c r="D17" s="189">
        <v>-0.268775</v>
      </c>
      <c r="E17" s="189">
        <f>ATAN(C17/B17)</f>
        <v>-1.22157009627143</v>
      </c>
      <c r="F17" s="189">
        <f>SQRT((F$5-$B17)^2+(F$6-$C17)^2+(F$7-$D17)^2)</f>
        <v>2.91475438361718</v>
      </c>
      <c r="G17" s="189">
        <f>SQRT((G$5-$B17)^2+(G$6-$C17)^2+(G$7-$D17)^2)</f>
        <v>2.88909799729235</v>
      </c>
      <c r="H17" s="189">
        <f>SQRT((H$5-$B17)^2+(H$6-$C17)^2+(H$7-$D17)^2)</f>
        <v>2.24064582632695</v>
      </c>
      <c r="I17" s="189">
        <f>SQRT((I$5-$B17)^2+(I$6-$C17)^2+(I$7-$D17)^2)</f>
        <v>1.93507132732575</v>
      </c>
      <c r="J17" s="189">
        <f>SQRT((J$5-$B17)^2+(J$6-$C17)^2+(J$7-$D17)^2)</f>
        <v>1.93668198108516</v>
      </c>
      <c r="K17" s="189">
        <f>SQRT((K$5-$B17)^2+(K$6-$C17)^2+(K$7-$D17)^2)</f>
        <v>1.68228854288085</v>
      </c>
      <c r="L17" s="189">
        <f>SQRT((L$5-$B17)^2+(L$6-$C17)^2+(L$7-$D17)^2)</f>
        <v>2.90786172008488</v>
      </c>
      <c r="M17" s="189">
        <f>SQRT((M$5-$B17)^2+(M$6-$C17)^2+(M$7-$D17)^2)</f>
        <v>5.82950876723436</v>
      </c>
      <c r="N17" s="189">
        <f>SQRT((N$5-$B17)^2+(N$6-$C17)^2+(N$7-$D17)^2)</f>
        <v>0</v>
      </c>
      <c r="O17" s="189">
        <f>SQRT((O$5-$B17)^2+(O$6-$C17)^2+(O$7-$D17)^2)</f>
        <v>3.94423737156876</v>
      </c>
      <c r="P17" s="189">
        <f>SQRT((P$5-$B17)^2+(P$6-$C17)^2+(P$7-$D17)^2)</f>
        <v>5.01404044170438</v>
      </c>
      <c r="Q17" s="189">
        <f>SQRT((Q$5-$B17)^2+(Q$6-$C17)^2+(Q$7-$D17)^2)</f>
        <v>4.67269190723593</v>
      </c>
      <c r="R17" s="189">
        <f>SQRT((R$5-$B17)^2+(R$6-$C17)^2+(R$7-$D17)^2)</f>
        <v>4.82233793613295</v>
      </c>
      <c r="S17" s="189">
        <f>SQRT((S$5-$B17)^2+(S$6-$C17)^2+(S$7-$D17)^2)</f>
        <v>5.07201346191219</v>
      </c>
      <c r="T17" s="189">
        <f>SQRT((T$5-$B17)^2+(T$6-$C17)^2+(T$7-$D17)^2)</f>
        <v>3.343222686437</v>
      </c>
      <c r="U17" s="189">
        <f>SQRT((U$5-$B17)^2+(U$6-$C17)^2+(U$7-$D17)^2)</f>
        <v>10.0736588850272</v>
      </c>
      <c r="V17" s="189">
        <f>SQRT((V$5-$B17)^2+(V$6-$C17)^2+(V$7-$D17)^2)</f>
        <v>20.0511631441941</v>
      </c>
      <c r="W17" s="189">
        <f>SQRT((W$5-$B17)^2+(W$6-$C17)^2+(W$7-$D17)^2)</f>
        <v>28.8703015634097</v>
      </c>
      <c r="X17" s="190">
        <f>SQRT((X$5-$B17)^2+(X$6-$C17)^2+(X$7-$D17)^2)</f>
        <v>50.052986775482</v>
      </c>
    </row>
    <row r="18" ht="19" customHeight="1">
      <c r="A18" t="s" s="137">
        <v>120</v>
      </c>
      <c r="B18" s="189">
        <v>-2.28899</v>
      </c>
      <c r="C18" s="189">
        <v>-0.7820095</v>
      </c>
      <c r="D18" s="189">
        <v>0.7319143</v>
      </c>
      <c r="E18" s="189">
        <f>ATAN(C18/B18)</f>
        <v>0.329207424007719</v>
      </c>
      <c r="F18" s="189">
        <f>SQRT((F$5-$B18)^2+(F$6-$C18)^2+(F$7-$D18)^2)</f>
        <v>2.52719461473285</v>
      </c>
      <c r="G18" s="189">
        <f>SQRT((G$5-$B18)^2+(G$6-$C18)^2+(G$7-$D18)^2)</f>
        <v>2.86527476920122</v>
      </c>
      <c r="H18" s="189">
        <f>SQRT((H$5-$B18)^2+(H$6-$C18)^2+(H$7-$D18)^2)</f>
        <v>2.86121747099536</v>
      </c>
      <c r="I18" s="189">
        <f>SQRT((I$5-$B18)^2+(I$6-$C18)^2+(I$7-$D18)^2)</f>
        <v>2.55927626368974</v>
      </c>
      <c r="J18" s="189">
        <f>SQRT((J$5-$B18)^2+(J$6-$C18)^2+(J$7-$D18)^2)</f>
        <v>2.55669040805251</v>
      </c>
      <c r="K18" s="189">
        <f>SQRT((K$5-$B18)^2+(K$6-$C18)^2+(K$7-$D18)^2)</f>
        <v>3.30333847183504</v>
      </c>
      <c r="L18" s="189">
        <f>SQRT((L$5-$B18)^2+(L$6-$C18)^2+(L$7-$D18)^2)</f>
        <v>1.71250659354855</v>
      </c>
      <c r="M18" s="189">
        <f>SQRT((M$5-$B18)^2+(M$6-$C18)^2+(M$7-$D18)^2)</f>
        <v>3.76935047877231</v>
      </c>
      <c r="N18" s="189">
        <f>SQRT((N$5-$B18)^2+(N$6-$C18)^2+(N$7-$D18)^2)</f>
        <v>3.94423737156876</v>
      </c>
      <c r="O18" s="189">
        <f>SQRT((O$5-$B18)^2+(O$6-$C18)^2+(O$7-$D18)^2)</f>
        <v>0</v>
      </c>
      <c r="P18" s="189">
        <f>SQRT((P$5-$B18)^2+(P$6-$C18)^2+(P$7-$D18)^2)</f>
        <v>1.87602902147645</v>
      </c>
      <c r="Q18" s="189">
        <f>SQRT((Q$5-$B18)^2+(Q$6-$C18)^2+(Q$7-$D18)^2)</f>
        <v>1.45750150123364</v>
      </c>
      <c r="R18" s="189">
        <f>SQRT((R$5-$B18)^2+(R$6-$C18)^2+(R$7-$D18)^2)</f>
        <v>1.33195309475681</v>
      </c>
      <c r="S18" s="189">
        <f>SQRT((S$5-$B18)^2+(S$6-$C18)^2+(S$7-$D18)^2)</f>
        <v>2.63290548763834</v>
      </c>
      <c r="T18" s="189">
        <f>SQRT((T$5-$B18)^2+(T$6-$C18)^2+(T$7-$D18)^2)</f>
        <v>4.54262969334379</v>
      </c>
      <c r="U18" s="189">
        <f>SQRT((U$5-$B18)^2+(U$6-$C18)^2+(U$7-$D18)^2)</f>
        <v>11.8507486879472</v>
      </c>
      <c r="V18" s="189">
        <f>SQRT((V$5-$B18)^2+(V$6-$C18)^2+(V$7-$D18)^2)</f>
        <v>22.4330162707059</v>
      </c>
      <c r="W18" s="189">
        <f>SQRT((W$5-$B18)^2+(W$6-$C18)^2+(W$7-$D18)^2)</f>
        <v>32.1693316708774</v>
      </c>
      <c r="X18" s="190">
        <f>SQRT((X$5-$B18)^2+(X$6-$C18)^2+(X$7-$D18)^2)</f>
        <v>51.482003745979</v>
      </c>
    </row>
    <row r="19" ht="19" customHeight="1">
      <c r="A19" t="s" s="137">
        <v>121</v>
      </c>
      <c r="B19" s="189">
        <v>-2.4768699</v>
      </c>
      <c r="C19" s="189">
        <v>0.8883586</v>
      </c>
      <c r="D19" s="189">
        <v>-0.1011862</v>
      </c>
      <c r="E19" s="189">
        <f>ATAN(C19/B19)</f>
        <v>-0.344370402571361</v>
      </c>
      <c r="F19" s="189">
        <f>SQRT((F$5-$B19)^2+(F$6-$C19)^2+(F$7-$D19)^2)</f>
        <v>2.63330669516302</v>
      </c>
      <c r="G19" s="189">
        <f>SQRT((G$5-$B19)^2+(G$6-$C19)^2+(G$7-$D19)^2)</f>
        <v>2.92991979379168</v>
      </c>
      <c r="H19" s="189">
        <f>SQRT((H$5-$B19)^2+(H$6-$C19)^2+(H$7-$D19)^2)</f>
        <v>3.27654294066695</v>
      </c>
      <c r="I19" s="189">
        <f>SQRT((I$5-$B19)^2+(I$6-$C19)^2+(I$7-$D19)^2)</f>
        <v>3.24212627246093</v>
      </c>
      <c r="J19" s="189">
        <f>SQRT((J$5-$B19)^2+(J$6-$C19)^2+(J$7-$D19)^2)</f>
        <v>3.23967257556991</v>
      </c>
      <c r="K19" s="189">
        <f>SQRT((K$5-$B19)^2+(K$6-$C19)^2+(K$7-$D19)^2)</f>
        <v>3.90841904757101</v>
      </c>
      <c r="L19" s="189">
        <f>SQRT((L$5-$B19)^2+(L$6-$C19)^2+(L$7-$D19)^2)</f>
        <v>3.17153491346499</v>
      </c>
      <c r="M19" s="189">
        <f>SQRT((M$5-$B19)^2+(M$6-$C19)^2+(M$7-$D19)^2)</f>
        <v>2.39156705617153</v>
      </c>
      <c r="N19" s="189">
        <f>SQRT((N$5-$B19)^2+(N$6-$C19)^2+(N$7-$D19)^2)</f>
        <v>5.01404044170438</v>
      </c>
      <c r="O19" s="189">
        <f>SQRT((O$5-$B19)^2+(O$6-$C19)^2+(O$7-$D19)^2)</f>
        <v>1.87602902147645</v>
      </c>
      <c r="P19" s="189">
        <f>SQRT((P$5-$B19)^2+(P$6-$C19)^2+(P$7-$D19)^2)</f>
        <v>0</v>
      </c>
      <c r="Q19" s="189">
        <f>SQRT((Q$5-$B19)^2+(Q$6-$C19)^2+(Q$7-$D19)^2)</f>
        <v>0.514514516106485</v>
      </c>
      <c r="R19" s="189">
        <f>SQRT((R$5-$B19)^2+(R$6-$C19)^2+(R$7-$D19)^2)</f>
        <v>0.856922233304435</v>
      </c>
      <c r="S19" s="189">
        <f>SQRT((S$5-$B19)^2+(S$6-$C19)^2+(S$7-$D19)^2)</f>
        <v>1.11386087703097</v>
      </c>
      <c r="T19" s="189">
        <f>SQRT((T$5-$B19)^2+(T$6-$C19)^2+(T$7-$D19)^2)</f>
        <v>6.16608916312428</v>
      </c>
      <c r="U19" s="189">
        <f>SQRT((U$5-$B19)^2+(U$6-$C19)^2+(U$7-$D19)^2)</f>
        <v>11.4093188028385</v>
      </c>
      <c r="V19" s="189">
        <f>SQRT((V$5-$B19)^2+(V$6-$C19)^2+(V$7-$D19)^2)</f>
        <v>22.1611319018982</v>
      </c>
      <c r="W19" s="189">
        <f>SQRT((W$5-$B19)^2+(W$6-$C19)^2+(W$7-$D19)^2)</f>
        <v>32.4211402401209</v>
      </c>
      <c r="X19" s="190">
        <f>SQRT((X$5-$B19)^2+(X$6-$C19)^2+(X$7-$D19)^2)</f>
        <v>50.4000516666146</v>
      </c>
    </row>
    <row r="20" ht="19" customHeight="1">
      <c r="A20" t="s" s="137">
        <v>122</v>
      </c>
      <c r="B20" s="189">
        <v>-2.250651</v>
      </c>
      <c r="C20" s="189">
        <v>0.5950354</v>
      </c>
      <c r="D20" s="189">
        <v>0.2559016</v>
      </c>
      <c r="E20" s="189">
        <f>ATAN(C20/B20)</f>
        <v>-0.258469766336656</v>
      </c>
      <c r="F20" s="189">
        <f>SQRT((F$5-$B20)^2+(F$6-$C20)^2+(F$7-$D20)^2)</f>
        <v>2.3420039880275</v>
      </c>
      <c r="G20" s="189">
        <f>SQRT((G$5-$B20)^2+(G$6-$C20)^2+(G$7-$D20)^2)</f>
        <v>2.65454695332704</v>
      </c>
      <c r="H20" s="189">
        <f>SQRT((H$5-$B20)^2+(H$6-$C20)^2+(H$7-$D20)^2)</f>
        <v>2.96161463989197</v>
      </c>
      <c r="I20" s="189">
        <f>SQRT((I$5-$B20)^2+(I$6-$C20)^2+(I$7-$D20)^2)</f>
        <v>2.89885096522678</v>
      </c>
      <c r="J20" s="189">
        <f>SQRT((J$5-$B20)^2+(J$6-$C20)^2+(J$7-$D20)^2)</f>
        <v>2.89636383407254</v>
      </c>
      <c r="K20" s="189">
        <f>SQRT((K$5-$B20)^2+(K$6-$C20)^2+(K$7-$D20)^2)</f>
        <v>3.58097419528468</v>
      </c>
      <c r="L20" s="189">
        <f>SQRT((L$5-$B20)^2+(L$6-$C20)^2+(L$7-$D20)^2)</f>
        <v>2.86578424517662</v>
      </c>
      <c r="M20" s="189">
        <f>SQRT((M$5-$B20)^2+(M$6-$C20)^2+(M$7-$D20)^2)</f>
        <v>2.47537914945498</v>
      </c>
      <c r="N20" s="189">
        <f>SQRT((N$5-$B20)^2+(N$6-$C20)^2+(N$7-$D20)^2)</f>
        <v>4.67269190723593</v>
      </c>
      <c r="O20" s="189">
        <f>SQRT((O$5-$B20)^2+(O$6-$C20)^2+(O$7-$D20)^2)</f>
        <v>1.45750150123364</v>
      </c>
      <c r="P20" s="189">
        <f>SQRT((P$5-$B20)^2+(P$6-$C20)^2+(P$7-$D20)^2)</f>
        <v>0.514514516106485</v>
      </c>
      <c r="Q20" s="189">
        <f>SQRT((Q$5-$B20)^2+(Q$6-$C20)^2+(Q$7-$D20)^2)</f>
        <v>0</v>
      </c>
      <c r="R20" s="189">
        <f>SQRT((R$5-$B20)^2+(R$6-$C20)^2+(R$7-$D20)^2)</f>
        <v>0.830681073017419</v>
      </c>
      <c r="S20" s="189">
        <f>SQRT((S$5-$B20)^2+(S$6-$C20)^2+(S$7-$D20)^2)</f>
        <v>1.25640749958252</v>
      </c>
      <c r="T20" s="189">
        <f>SQRT((T$5-$B20)^2+(T$6-$C20)^2+(T$7-$D20)^2)</f>
        <v>5.83843748291582</v>
      </c>
      <c r="U20" s="189">
        <f>SQRT((U$5-$B20)^2+(U$6-$C20)^2+(U$7-$D20)^2)</f>
        <v>11.2920025420451</v>
      </c>
      <c r="V20" s="189">
        <f>SQRT((V$5-$B20)^2+(V$6-$C20)^2+(V$7-$D20)^2)</f>
        <v>22.0135220409589</v>
      </c>
      <c r="W20" s="189">
        <f>SQRT((W$5-$B20)^2+(W$6-$C20)^2+(W$7-$D20)^2)</f>
        <v>32.1813686975699</v>
      </c>
      <c r="X20" s="190">
        <f>SQRT((X$5-$B20)^2+(X$6-$C20)^2+(X$7-$D20)^2)</f>
        <v>50.4988772365884</v>
      </c>
    </row>
    <row r="21" ht="19" customHeight="1">
      <c r="A21" t="s" s="137">
        <v>123</v>
      </c>
      <c r="B21" s="189">
        <v>-2.880313</v>
      </c>
      <c r="C21" s="189">
        <v>0.1355898</v>
      </c>
      <c r="D21" s="189">
        <v>-0.0312683</v>
      </c>
      <c r="E21" s="189">
        <f>ATAN(C21/B21)</f>
        <v>-0.0470399488390494</v>
      </c>
      <c r="F21" s="189">
        <f>SQRT((F$5-$B21)^2+(F$6-$C21)^2+(F$7-$D21)^2)</f>
        <v>2.88367218636549</v>
      </c>
      <c r="G21" s="189">
        <f>SQRT((G$5-$B21)^2+(G$6-$C21)^2+(G$7-$D21)^2)</f>
        <v>3.21811196528457</v>
      </c>
      <c r="H21" s="189">
        <f>SQRT((H$5-$B21)^2+(H$6-$C21)^2+(H$7-$D21)^2)</f>
        <v>3.41226116353262</v>
      </c>
      <c r="I21" s="189">
        <f>SQRT((I$5-$B21)^2+(I$6-$C21)^2+(I$7-$D21)^2)</f>
        <v>3.24095047959137</v>
      </c>
      <c r="J21" s="189">
        <f>SQRT((J$5-$B21)^2+(J$6-$C21)^2+(J$7-$D21)^2)</f>
        <v>3.23828270176651</v>
      </c>
      <c r="K21" s="189">
        <f>SQRT((K$5-$B21)^2+(K$6-$C21)^2+(K$7-$D21)^2)</f>
        <v>3.97470453962422</v>
      </c>
      <c r="L21" s="189">
        <f>SQRT((L$5-$B21)^2+(L$6-$C21)^2+(L$7-$D21)^2)</f>
        <v>2.56897954775128</v>
      </c>
      <c r="M21" s="189">
        <f>SQRT((M$5-$B21)^2+(M$6-$C21)^2+(M$7-$D21)^2)</f>
        <v>3.21990273458687</v>
      </c>
      <c r="N21" s="189">
        <f>SQRT((N$5-$B21)^2+(N$6-$C21)^2+(N$7-$D21)^2)</f>
        <v>4.82233793613295</v>
      </c>
      <c r="O21" s="189">
        <f>SQRT((O$5-$B21)^2+(O$6-$C21)^2+(O$7-$D21)^2)</f>
        <v>1.33195309475681</v>
      </c>
      <c r="P21" s="189">
        <f>SQRT((P$5-$B21)^2+(P$6-$C21)^2+(P$7-$D21)^2)</f>
        <v>0.856922233304435</v>
      </c>
      <c r="Q21" s="189">
        <f>SQRT((Q$5-$B21)^2+(Q$6-$C21)^2+(Q$7-$D21)^2)</f>
        <v>0.830681073017419</v>
      </c>
      <c r="R21" s="189">
        <f>SQRT((R$5-$B21)^2+(R$6-$C21)^2+(R$7-$D21)^2)</f>
        <v>0</v>
      </c>
      <c r="S21" s="189">
        <f>SQRT((S$5-$B21)^2+(S$6-$C21)^2+(S$7-$D21)^2)</f>
        <v>1.93717626779235</v>
      </c>
      <c r="T21" s="189">
        <f>SQRT((T$5-$B21)^2+(T$6-$C21)^2+(T$7-$D21)^2)</f>
        <v>5.53139670436815</v>
      </c>
      <c r="U21" s="189">
        <f>SQRT((U$5-$B21)^2+(U$6-$C21)^2+(U$7-$D21)^2)</f>
        <v>12.0198226014158</v>
      </c>
      <c r="V21" s="189">
        <f>SQRT((V$5-$B21)^2+(V$6-$C21)^2+(V$7-$D21)^2)</f>
        <v>22.7319492872039</v>
      </c>
      <c r="W21" s="189">
        <f>SQRT((W$5-$B21)^2+(W$6-$C21)^2+(W$7-$D21)^2)</f>
        <v>32.7749249076292</v>
      </c>
      <c r="X21" s="190">
        <f>SQRT((X$5-$B21)^2+(X$6-$C21)^2+(X$7-$D21)^2)</f>
        <v>51.167576522630</v>
      </c>
    </row>
    <row r="22" ht="19" customHeight="1">
      <c r="A22" t="s" s="137">
        <v>124</v>
      </c>
      <c r="B22" s="189">
        <v>-1.6309099</v>
      </c>
      <c r="C22" s="189">
        <v>1.6116008</v>
      </c>
      <c r="D22" s="189">
        <v>-0.1454406</v>
      </c>
      <c r="E22" s="189">
        <f>ATAN(C22/B22)</f>
        <v>-0.779443249583449</v>
      </c>
      <c r="F22" s="189">
        <f>SQRT((F$5-$B22)^2+(F$6-$C22)^2+(F$7-$D22)^2)</f>
        <v>2.29745015367189</v>
      </c>
      <c r="G22" s="189">
        <f>SQRT((G$5-$B22)^2+(G$6-$C22)^2+(G$7-$D22)^2)</f>
        <v>2.49905319680585</v>
      </c>
      <c r="H22" s="189">
        <f>SQRT((H$5-$B22)^2+(H$6-$C22)^2+(H$7-$D22)^2)</f>
        <v>3.01908685714148</v>
      </c>
      <c r="I22" s="189">
        <f>SQRT((I$5-$B22)^2+(I$6-$C22)^2+(I$7-$D22)^2)</f>
        <v>3.17005743326118</v>
      </c>
      <c r="J22" s="189">
        <f>SQRT((J$5-$B22)^2+(J$6-$C22)^2+(J$7-$D22)^2)</f>
        <v>3.16814189350945</v>
      </c>
      <c r="K22" s="189">
        <f>SQRT((K$5-$B22)^2+(K$6-$C22)^2+(K$7-$D22)^2)</f>
        <v>3.68956796473851</v>
      </c>
      <c r="L22" s="189">
        <f>SQRT((L$5-$B22)^2+(L$6-$C22)^2+(L$7-$D22)^2)</f>
        <v>3.84277543554126</v>
      </c>
      <c r="M22" s="189">
        <f>SQRT((M$5-$B22)^2+(M$6-$C22)^2+(M$7-$D22)^2)</f>
        <v>1.35011854776781</v>
      </c>
      <c r="N22" s="189">
        <f>SQRT((N$5-$B22)^2+(N$6-$C22)^2+(N$7-$D22)^2)</f>
        <v>5.07201346191219</v>
      </c>
      <c r="O22" s="189">
        <f>SQRT((O$5-$B22)^2+(O$6-$C22)^2+(O$7-$D22)^2)</f>
        <v>2.63290548763834</v>
      </c>
      <c r="P22" s="189">
        <f>SQRT((P$5-$B22)^2+(P$6-$C22)^2+(P$7-$D22)^2)</f>
        <v>1.11386087703097</v>
      </c>
      <c r="Q22" s="189">
        <f>SQRT((Q$5-$B22)^2+(Q$6-$C22)^2+(Q$7-$D22)^2)</f>
        <v>1.25640749958252</v>
      </c>
      <c r="R22" s="189">
        <f>SQRT((R$5-$B22)^2+(R$6-$C22)^2+(R$7-$D22)^2)</f>
        <v>1.93717626779235</v>
      </c>
      <c r="S22" s="189">
        <f>SQRT((S$5-$B22)^2+(S$6-$C22)^2+(S$7-$D22)^2)</f>
        <v>0</v>
      </c>
      <c r="T22" s="189">
        <f>SQRT((T$5-$B22)^2+(T$6-$C22)^2+(T$7-$D22)^2)</f>
        <v>6.78197299598297</v>
      </c>
      <c r="U22" s="189">
        <f>SQRT((U$5-$B22)^2+(U$6-$C22)^2+(U$7-$D22)^2)</f>
        <v>10.4081428837154</v>
      </c>
      <c r="V22" s="189">
        <f>SQRT((V$5-$B22)^2+(V$6-$C22)^2+(V$7-$D22)^2)</f>
        <v>21.1812327085112</v>
      </c>
      <c r="W22" s="189">
        <f>SQRT((W$5-$B22)^2+(W$6-$C22)^2+(W$7-$D22)^2)</f>
        <v>31.6435319185896</v>
      </c>
      <c r="X22" s="190">
        <f>SQRT((X$5-$B22)^2+(X$6-$C22)^2+(X$7-$D22)^2)</f>
        <v>49.3205484344495</v>
      </c>
    </row>
    <row r="23" ht="19" customHeight="1">
      <c r="A23" t="s" s="137">
        <v>97</v>
      </c>
      <c r="B23" s="189">
        <v>-1.2792889</v>
      </c>
      <c r="C23" s="189">
        <v>-5.1583932</v>
      </c>
      <c r="D23" s="189">
        <v>0.0512867</v>
      </c>
      <c r="E23" s="189">
        <f>ATAN(C23/B23)</f>
        <v>1.32769955166073</v>
      </c>
      <c r="F23" s="189">
        <f>SQRT((F$5-$B23)^2+(F$6-$C23)^2+(F$7-$D23)^2)</f>
        <v>5.31490647340725</v>
      </c>
      <c r="G23" s="189">
        <f>SQRT((G$5-$B23)^2+(G$6-$C23)^2+(G$7-$D23)^2)</f>
        <v>5.47902106007142</v>
      </c>
      <c r="H23" s="189">
        <f>SQRT((H$5-$B23)^2+(H$6-$C23)^2+(H$7-$D23)^2)</f>
        <v>4.91332698450667</v>
      </c>
      <c r="I23" s="189">
        <f>SQRT((I$5-$B23)^2+(I$6-$C23)^2+(I$7-$D23)^2)</f>
        <v>4.39412649912897</v>
      </c>
      <c r="J23" s="189">
        <f>SQRT((J$5-$B23)^2+(J$6-$C23)^2+(J$7-$D23)^2)</f>
        <v>4.39374173149889</v>
      </c>
      <c r="K23" s="189">
        <f>SQRT((K$5-$B23)^2+(K$6-$C23)^2+(K$7-$D23)^2)</f>
        <v>4.64553353298292</v>
      </c>
      <c r="L23" s="189">
        <f>SQRT((L$5-$B23)^2+(L$6-$C23)^2+(L$7-$D23)^2)</f>
        <v>2.99601092348973</v>
      </c>
      <c r="M23" s="189">
        <f>SQRT((M$5-$B23)^2+(M$6-$C23)^2+(M$7-$D23)^2)</f>
        <v>7.89372598616501</v>
      </c>
      <c r="N23" s="189">
        <f>SQRT((N$5-$B23)^2+(N$6-$C23)^2+(N$7-$D23)^2)</f>
        <v>3.343222686437</v>
      </c>
      <c r="O23" s="189">
        <f>SQRT((O$5-$B23)^2+(O$6-$C23)^2+(O$7-$D23)^2)</f>
        <v>4.54262969334379</v>
      </c>
      <c r="P23" s="189">
        <f>SQRT((P$5-$B23)^2+(P$6-$C23)^2+(P$7-$D23)^2)</f>
        <v>6.16608916312428</v>
      </c>
      <c r="Q23" s="189">
        <f>SQRT((Q$5-$B23)^2+(Q$6-$C23)^2+(Q$7-$D23)^2)</f>
        <v>5.83843748291582</v>
      </c>
      <c r="R23" s="189">
        <f>SQRT((R$5-$B23)^2+(R$6-$C23)^2+(R$7-$D23)^2)</f>
        <v>5.53139670436815</v>
      </c>
      <c r="S23" s="189">
        <f>SQRT((S$5-$B23)^2+(S$6-$C23)^2+(S$7-$D23)^2)</f>
        <v>6.78197299598297</v>
      </c>
      <c r="T23" s="189">
        <f>SQRT((T$5-$B23)^2+(T$6-$C23)^2+(T$7-$D23)^2)</f>
        <v>0</v>
      </c>
      <c r="U23" s="189">
        <f>SQRT((U$5-$B23)^2+(U$6-$C23)^2+(U$7-$D23)^2)</f>
        <v>13.3984773315983</v>
      </c>
      <c r="V23" s="189">
        <f>SQRT((V$5-$B23)^2+(V$6-$C23)^2+(V$7-$D23)^2)</f>
        <v>23.1781403444057</v>
      </c>
      <c r="W23" s="189">
        <f>SQRT((W$5-$B23)^2+(W$6-$C23)^2+(W$7-$D23)^2)</f>
        <v>31.3248719125503</v>
      </c>
      <c r="X23" s="190">
        <f>SQRT((X$5-$B23)^2+(X$6-$C23)^2+(X$7-$D23)^2)</f>
        <v>53.3379696611538</v>
      </c>
    </row>
    <row r="24" ht="19" customHeight="1">
      <c r="A24" t="s" s="137">
        <v>98</v>
      </c>
      <c r="B24" s="189">
        <v>8.4982895</v>
      </c>
      <c r="C24" s="189">
        <v>3.9908825</v>
      </c>
      <c r="D24" s="189">
        <v>-0.4057796</v>
      </c>
      <c r="E24" s="189">
        <f>ATAN(C24/B24)</f>
        <v>0.439041476881484</v>
      </c>
      <c r="F24" s="189">
        <f>SQRT((F$5-$B24)^2+(F$6-$C24)^2+(F$7-$D24)^2)</f>
        <v>9.39748501666231</v>
      </c>
      <c r="G24" s="189">
        <f>SQRT((G$5-$B24)^2+(G$6-$C24)^2+(G$7-$D24)^2)</f>
        <v>9.059312995317679</v>
      </c>
      <c r="H24" s="189">
        <f>SQRT((H$5-$B24)^2+(H$6-$C24)^2+(H$7-$D24)^2)</f>
        <v>9.24696218854125</v>
      </c>
      <c r="I24" s="189">
        <f>SQRT((I$5-$B24)^2+(I$6-$C24)^2+(I$7-$D24)^2)</f>
        <v>9.734448629771579</v>
      </c>
      <c r="J24" s="189">
        <f>SQRT((J$5-$B24)^2+(J$6-$C24)^2+(J$7-$D24)^2)</f>
        <v>9.73646745423782</v>
      </c>
      <c r="K24" s="189">
        <f>SQRT((K$5-$B24)^2+(K$6-$C24)^2+(K$7-$D24)^2)</f>
        <v>9.12413228472013</v>
      </c>
      <c r="L24" s="189">
        <f>SQRT((L$5-$B24)^2+(L$6-$C24)^2+(L$7-$D24)^2)</f>
        <v>12.0881138796893</v>
      </c>
      <c r="M24" s="189">
        <f>SQRT((M$5-$B24)^2+(M$6-$C24)^2+(M$7-$D24)^2)</f>
        <v>9.598876610235701</v>
      </c>
      <c r="N24" s="189">
        <f>SQRT((N$5-$B24)^2+(N$6-$C24)^2+(N$7-$D24)^2)</f>
        <v>10.0736588850272</v>
      </c>
      <c r="O24" s="189">
        <f>SQRT((O$5-$B24)^2+(O$6-$C24)^2+(O$7-$D24)^2)</f>
        <v>11.8507486879472</v>
      </c>
      <c r="P24" s="189">
        <f>SQRT((P$5-$B24)^2+(P$6-$C24)^2+(P$7-$D24)^2)</f>
        <v>11.4093188028385</v>
      </c>
      <c r="Q24" s="189">
        <f>SQRT((Q$5-$B24)^2+(Q$6-$C24)^2+(Q$7-$D24)^2)</f>
        <v>11.2920025420451</v>
      </c>
      <c r="R24" s="189">
        <f>SQRT((R$5-$B24)^2+(R$6-$C24)^2+(R$7-$D24)^2)</f>
        <v>12.0198226014158</v>
      </c>
      <c r="S24" s="189">
        <f>SQRT((S$5-$B24)^2+(S$6-$C24)^2+(S$7-$D24)^2)</f>
        <v>10.4081428837154</v>
      </c>
      <c r="T24" s="189">
        <f>SQRT((T$5-$B24)^2+(T$6-$C24)^2+(T$7-$D24)^2)</f>
        <v>13.3984773315983</v>
      </c>
      <c r="U24" s="189">
        <f>SQRT((U$5-$B24)^2+(U$6-$C24)^2+(U$7-$D24)^2)</f>
        <v>0</v>
      </c>
      <c r="V24" s="189">
        <f>SQRT((V$5-$B24)^2+(V$6-$C24)^2+(V$7-$D24)^2)</f>
        <v>10.7869814941602</v>
      </c>
      <c r="W24" s="189">
        <f>SQRT((W$5-$B24)^2+(W$6-$C24)^2+(W$7-$D24)^2)</f>
        <v>22.0756014404373</v>
      </c>
      <c r="X24" s="190">
        <f>SQRT((X$5-$B24)^2+(X$6-$C24)^2+(X$7-$D24)^2)</f>
        <v>40.4190809079332</v>
      </c>
    </row>
    <row r="25" ht="19" customHeight="1">
      <c r="A25" t="s" s="137">
        <v>99</v>
      </c>
      <c r="B25" s="189">
        <v>19.1253348</v>
      </c>
      <c r="C25" s="189">
        <v>5.8325881</v>
      </c>
      <c r="D25" s="189">
        <v>-0.2241249</v>
      </c>
      <c r="E25" s="189">
        <f>ATAN(C25/B25)</f>
        <v>0.296007045893828</v>
      </c>
      <c r="F25" s="189">
        <f>SQRT((F$5-$B25)^2+(F$6-$C25)^2+(F$7-$D25)^2)</f>
        <v>19.9961933159077</v>
      </c>
      <c r="G25" s="189">
        <f>SQRT((G$5-$B25)^2+(G$6-$C25)^2+(G$7-$D25)^2)</f>
        <v>19.6511507484874</v>
      </c>
      <c r="H25" s="189">
        <f>SQRT((H$5-$B25)^2+(H$6-$C25)^2+(H$7-$D25)^2)</f>
        <v>19.7322977684158</v>
      </c>
      <c r="I25" s="189">
        <f>SQRT((I$5-$B25)^2+(I$6-$C25)^2+(I$7-$D25)^2)</f>
        <v>20.1677346564182</v>
      </c>
      <c r="J25" s="189">
        <f>SQRT((J$5-$B25)^2+(J$6-$C25)^2+(J$7-$D25)^2)</f>
        <v>20.1700634741523</v>
      </c>
      <c r="K25" s="189">
        <f>SQRT((K$5-$B25)^2+(K$6-$C25)^2+(K$7-$D25)^2)</f>
        <v>19.4776469454767</v>
      </c>
      <c r="L25" s="189">
        <f>SQRT((L$5-$B25)^2+(L$6-$C25)^2+(L$7-$D25)^2)</f>
        <v>22.4838677775716</v>
      </c>
      <c r="M25" s="189">
        <f>SQRT((M$5-$B25)^2+(M$6-$C25)^2+(M$7-$D25)^2)</f>
        <v>20.3626603628516</v>
      </c>
      <c r="N25" s="189">
        <f>SQRT((N$5-$B25)^2+(N$6-$C25)^2+(N$7-$D25)^2)</f>
        <v>20.0511631441941</v>
      </c>
      <c r="O25" s="189">
        <f>SQRT((O$5-$B25)^2+(O$6-$C25)^2+(O$7-$D25)^2)</f>
        <v>22.4330162707059</v>
      </c>
      <c r="P25" s="189">
        <f>SQRT((P$5-$B25)^2+(P$6-$C25)^2+(P$7-$D25)^2)</f>
        <v>22.1611319018982</v>
      </c>
      <c r="Q25" s="189">
        <f>SQRT((Q$5-$B25)^2+(Q$6-$C25)^2+(Q$7-$D25)^2)</f>
        <v>22.0135220409589</v>
      </c>
      <c r="R25" s="189">
        <f>SQRT((R$5-$B25)^2+(R$6-$C25)^2+(R$7-$D25)^2)</f>
        <v>22.7319492872039</v>
      </c>
      <c r="S25" s="189">
        <f>SQRT((S$5-$B25)^2+(S$6-$C25)^2+(S$7-$D25)^2)</f>
        <v>21.1812327085112</v>
      </c>
      <c r="T25" s="189">
        <f>SQRT((T$5-$B25)^2+(T$6-$C25)^2+(T$7-$D25)^2)</f>
        <v>23.1781403444057</v>
      </c>
      <c r="U25" s="189">
        <f>SQRT((U$5-$B25)^2+(U$6-$C25)^2+(U$7-$D25)^2)</f>
        <v>10.7869814941602</v>
      </c>
      <c r="V25" s="189">
        <f>SQRT((V$5-$B25)^2+(V$6-$C25)^2+(V$7-$D25)^2)</f>
        <v>0</v>
      </c>
      <c r="W25" s="189">
        <f>SQRT((W$5-$B25)^2+(W$6-$C25)^2+(W$7-$D25)^2)</f>
        <v>13.0727683677947</v>
      </c>
      <c r="X25" s="190">
        <f>SQRT((X$5-$B25)^2+(X$6-$C25)^2+(X$7-$D25)^2)</f>
        <v>32.7469170872693</v>
      </c>
    </row>
    <row r="26" ht="19" customHeight="1">
      <c r="A26" t="s" s="137">
        <v>53</v>
      </c>
      <c r="B26" s="189">
        <v>29.8412732</v>
      </c>
      <c r="C26" s="189">
        <v>-1.6458435</v>
      </c>
      <c r="D26" s="189">
        <v>-0.596949</v>
      </c>
      <c r="E26" s="189">
        <f>ATAN(C26/B26)</f>
        <v>-0.0550974386236654</v>
      </c>
      <c r="F26" s="189">
        <f>SQRT((F$5-$B26)^2+(F$6-$C26)^2+(F$7-$D26)^2)</f>
        <v>29.8925866249833</v>
      </c>
      <c r="G26" s="189">
        <f>SQRT((G$5-$B26)^2+(G$6-$C26)^2+(G$7-$D26)^2)</f>
        <v>29.5597256798117</v>
      </c>
      <c r="H26" s="189">
        <f>SQRT((H$5-$B26)^2+(H$6-$C26)^2+(H$7-$D26)^2)</f>
        <v>29.4070987205911</v>
      </c>
      <c r="I26" s="189">
        <f>SQRT((I$5-$B26)^2+(I$6-$C26)^2+(I$7-$D26)^2)</f>
        <v>29.7009280813153</v>
      </c>
      <c r="J26" s="189">
        <f>SQRT((J$5-$B26)^2+(J$6-$C26)^2+(J$7-$D26)^2)</f>
        <v>29.7035971281697</v>
      </c>
      <c r="K26" s="189">
        <f>SQRT((K$5-$B26)^2+(K$6-$C26)^2+(K$7-$D26)^2)</f>
        <v>28.9427856810363</v>
      </c>
      <c r="L26" s="189">
        <f>SQRT((L$5-$B26)^2+(L$6-$C26)^2+(L$7-$D26)^2)</f>
        <v>31.7158242702371</v>
      </c>
      <c r="M26" s="189">
        <f>SQRT((M$5-$B26)^2+(M$6-$C26)^2+(M$7-$D26)^2)</f>
        <v>31.1549473460585</v>
      </c>
      <c r="N26" s="189">
        <f>SQRT((N$5-$B26)^2+(N$6-$C26)^2+(N$7-$D26)^2)</f>
        <v>28.8703015634097</v>
      </c>
      <c r="O26" s="189">
        <f>SQRT((O$5-$B26)^2+(O$6-$C26)^2+(O$7-$D26)^2)</f>
        <v>32.1693316708774</v>
      </c>
      <c r="P26" s="189">
        <f>SQRT((P$5-$B26)^2+(P$6-$C26)^2+(P$7-$D26)^2)</f>
        <v>32.4211402401209</v>
      </c>
      <c r="Q26" s="189">
        <f>SQRT((Q$5-$B26)^2+(Q$6-$C26)^2+(Q$7-$D26)^2)</f>
        <v>32.1813686975699</v>
      </c>
      <c r="R26" s="189">
        <f>SQRT((R$5-$B26)^2+(R$6-$C26)^2+(R$7-$D26)^2)</f>
        <v>32.7749249076292</v>
      </c>
      <c r="S26" s="189">
        <f>SQRT((S$5-$B26)^2+(S$6-$C26)^2+(S$7-$D26)^2)</f>
        <v>31.6435319185896</v>
      </c>
      <c r="T26" s="189">
        <f>SQRT((T$5-$B26)^2+(T$6-$C26)^2+(T$7-$D26)^2)</f>
        <v>31.3248719125503</v>
      </c>
      <c r="U26" s="189">
        <f>SQRT((U$5-$B26)^2+(U$6-$C26)^2+(U$7-$D26)^2)</f>
        <v>22.0756014404373</v>
      </c>
      <c r="V26" s="189">
        <f>SQRT((V$5-$B26)^2+(V$6-$C26)^2+(V$7-$D26)^2)</f>
        <v>13.0727683677947</v>
      </c>
      <c r="W26" s="189">
        <f>SQRT((W$5-$B26)^2+(W$6-$C26)^2+(W$7-$D26)^2)</f>
        <v>0</v>
      </c>
      <c r="X26" s="190">
        <f>SQRT((X$5-$B26)^2+(X$6-$C26)^2+(X$7-$D26)^2)</f>
        <v>35.1388330386708</v>
      </c>
    </row>
    <row r="27" ht="20" customHeight="1">
      <c r="A27" t="s" s="192">
        <v>100</v>
      </c>
      <c r="B27" s="193">
        <v>36.0692626</v>
      </c>
      <c r="C27" s="193">
        <v>30.2293871</v>
      </c>
      <c r="D27" s="193">
        <v>-14.0103531</v>
      </c>
      <c r="E27" s="193">
        <f>ATAN(C27/B27)</f>
        <v>0.697540539411209</v>
      </c>
      <c r="F27" s="193">
        <f>SQRT((F$5-$B27)^2+(F$6-$C27)^2+(F$7-$D27)^2)</f>
        <v>49.1029280484992</v>
      </c>
      <c r="G27" s="193">
        <f>SQRT((G$5-$B27)^2+(G$6-$C27)^2+(G$7-$D27)^2)</f>
        <v>48.8008586114205</v>
      </c>
      <c r="H27" s="193">
        <f>SQRT((H$5-$B27)^2+(H$6-$C27)^2+(H$7-$D27)^2)</f>
        <v>49.1085345921438</v>
      </c>
      <c r="I27" s="193">
        <f>SQRT((I$5-$B27)^2+(I$6-$C27)^2+(I$7-$D27)^2)</f>
        <v>49.6166744245534</v>
      </c>
      <c r="J27" s="193">
        <f>SQRT((J$5-$B27)^2+(J$6-$C27)^2+(J$7-$D27)^2)</f>
        <v>49.6182828529253</v>
      </c>
      <c r="K27" s="193">
        <f>SQRT((K$5-$B27)^2+(K$6-$C27)^2+(K$7-$D27)^2)</f>
        <v>49.0958602009364</v>
      </c>
      <c r="L27" s="193">
        <f>SQRT((L$5-$B27)^2+(L$6-$C27)^2+(L$7-$D27)^2)</f>
        <v>51.8267377334852</v>
      </c>
      <c r="M27" s="193">
        <f>SQRT((M$5-$B27)^2+(M$6-$C27)^2+(M$7-$D27)^2)</f>
        <v>48.3103010439722</v>
      </c>
      <c r="N27" s="193">
        <f>SQRT((N$5-$B27)^2+(N$6-$C27)^2+(N$7-$D27)^2)</f>
        <v>50.052986775482</v>
      </c>
      <c r="O27" s="193">
        <f>SQRT((O$5-$B27)^2+(O$6-$C27)^2+(O$7-$D27)^2)</f>
        <v>51.482003745979</v>
      </c>
      <c r="P27" s="193">
        <f>SQRT((P$5-$B27)^2+(P$6-$C27)^2+(P$7-$D27)^2)</f>
        <v>50.4000516666146</v>
      </c>
      <c r="Q27" s="193">
        <f>SQRT((Q$5-$B27)^2+(Q$6-$C27)^2+(Q$7-$D27)^2)</f>
        <v>50.4988772365884</v>
      </c>
      <c r="R27" s="193">
        <f>SQRT((R$5-$B27)^2+(R$6-$C27)^2+(R$7-$D27)^2)</f>
        <v>51.167576522630</v>
      </c>
      <c r="S27" s="193">
        <f>SQRT((S$5-$B27)^2+(S$6-$C27)^2+(S$7-$D27)^2)</f>
        <v>49.3205484344495</v>
      </c>
      <c r="T27" s="193">
        <f>SQRT((T$5-$B27)^2+(T$6-$C27)^2+(T$7-$D27)^2)</f>
        <v>53.3379696611538</v>
      </c>
      <c r="U27" s="193">
        <f>SQRT((U$5-$B27)^2+(U$6-$C27)^2+(U$7-$D27)^2)</f>
        <v>40.4190809079332</v>
      </c>
      <c r="V27" s="193">
        <f>SQRT((V$5-$B27)^2+(V$6-$C27)^2+(V$7-$D27)^2)</f>
        <v>32.7469170872693</v>
      </c>
      <c r="W27" s="193">
        <f>SQRT((W$5-$B27)^2+(W$6-$C27)^2+(W$7-$D27)^2)</f>
        <v>35.1388330386708</v>
      </c>
      <c r="X27" s="194">
        <f>SQRT((X$5-$B27)^2+(X$6-$C27)^2+(X$7-$D27)^2)</f>
        <v>0</v>
      </c>
    </row>
    <row r="28" ht="21" customHeight="1">
      <c r="A28" s="182"/>
      <c r="B28" s="195"/>
      <c r="C28" s="195"/>
      <c r="D28" s="195"/>
      <c r="E28" s="195"/>
      <c r="F28" s="180"/>
      <c r="G28" s="180"/>
      <c r="H28" s="180"/>
      <c r="I28" s="180"/>
      <c r="J28" s="180"/>
      <c r="K28" s="180"/>
      <c r="L28" s="180"/>
      <c r="M28" s="180"/>
      <c r="N28" s="180"/>
      <c r="O28" s="180"/>
      <c r="P28" s="180"/>
      <c r="Q28" s="180"/>
      <c r="R28" s="180"/>
      <c r="S28" s="180"/>
      <c r="T28" s="180"/>
      <c r="U28" s="180"/>
      <c r="V28" s="180"/>
      <c r="W28" s="180"/>
      <c r="X28" s="183"/>
    </row>
    <row r="29" ht="21" customHeight="1">
      <c r="A29" t="s" s="127">
        <v>128</v>
      </c>
      <c r="B29" s="161"/>
      <c r="C29" s="161"/>
      <c r="D29" s="161"/>
      <c r="E29" s="161"/>
      <c r="F29" s="161"/>
      <c r="G29" s="161"/>
      <c r="H29" s="161"/>
      <c r="I29" s="161"/>
      <c r="J29" s="161"/>
      <c r="K29" s="161"/>
      <c r="L29" s="161"/>
      <c r="M29" s="161"/>
      <c r="N29" s="161"/>
      <c r="O29" s="161"/>
      <c r="P29" s="161"/>
      <c r="Q29" s="161"/>
      <c r="R29" s="161"/>
      <c r="S29" s="161"/>
      <c r="T29" s="161"/>
      <c r="U29" s="161"/>
      <c r="V29" s="161"/>
      <c r="W29" s="161"/>
      <c r="X29" s="162"/>
    </row>
    <row r="30" ht="20" customHeight="1">
      <c r="A30" t="s" s="184">
        <v>116</v>
      </c>
      <c r="B30" s="185"/>
      <c r="C30" s="185"/>
      <c r="D30" s="185"/>
      <c r="E30" s="185"/>
      <c r="F30" t="s" s="186">
        <v>129</v>
      </c>
      <c r="G30" t="s" s="186">
        <v>90</v>
      </c>
      <c r="H30" t="s" s="186">
        <v>91</v>
      </c>
      <c r="I30" t="s" s="186">
        <v>49</v>
      </c>
      <c r="J30" t="s" s="186">
        <v>117</v>
      </c>
      <c r="K30" t="s" s="186">
        <v>93</v>
      </c>
      <c r="L30" t="s" s="196">
        <f>$A37</f>
        <v>118</v>
      </c>
      <c r="M30" t="s" s="196">
        <f>$A38</f>
        <v>119</v>
      </c>
      <c r="N30" t="s" s="186">
        <v>94</v>
      </c>
      <c r="O30" t="s" s="186">
        <v>120</v>
      </c>
      <c r="P30" t="s" s="186">
        <v>121</v>
      </c>
      <c r="Q30" t="s" s="186">
        <v>122</v>
      </c>
      <c r="R30" t="s" s="186">
        <v>123</v>
      </c>
      <c r="S30" t="s" s="186">
        <v>124</v>
      </c>
      <c r="T30" t="s" s="186">
        <v>97</v>
      </c>
      <c r="U30" t="s" s="186">
        <v>98</v>
      </c>
      <c r="V30" t="s" s="186">
        <v>99</v>
      </c>
      <c r="W30" t="s" s="186">
        <v>53</v>
      </c>
      <c r="X30" t="s" s="187">
        <v>100</v>
      </c>
    </row>
    <row r="31" ht="19" customHeight="1">
      <c r="A31" t="s" s="137">
        <v>129</v>
      </c>
      <c r="B31" s="197"/>
      <c r="C31" s="197"/>
      <c r="D31" s="197"/>
      <c r="E31" s="197"/>
      <c r="F31" s="189">
        <f>F9*8.317</f>
        <v>0</v>
      </c>
      <c r="G31" s="189">
        <f>G9*8.317</f>
        <v>2.88436593796436</v>
      </c>
      <c r="H31" s="189">
        <f>H9*8.317</f>
        <v>6.05535107356922</v>
      </c>
      <c r="I31" s="189">
        <f>I9*8.317</f>
        <v>8.45243307211031</v>
      </c>
      <c r="J31" s="189">
        <f>J9*8.317</f>
        <v>8.44493727156147</v>
      </c>
      <c r="K31" s="189">
        <f>K9*8.317</f>
        <v>11.6357303797001</v>
      </c>
      <c r="L31" s="189">
        <f>L9*8.317</f>
        <v>24.1502248392664</v>
      </c>
      <c r="M31" s="189">
        <f>M9*8.317</f>
        <v>24.2420122085441</v>
      </c>
      <c r="N31" s="189">
        <f>N9*8.317</f>
        <v>24.2420122085441</v>
      </c>
      <c r="O31" s="189">
        <f>O9*8.317</f>
        <v>21.0186776107331</v>
      </c>
      <c r="P31" s="189">
        <f>P9*8.317</f>
        <v>21.9012117836708</v>
      </c>
      <c r="Q31" s="189">
        <f>Q9*8.317</f>
        <v>19.4784471684247</v>
      </c>
      <c r="R31" s="189">
        <f>R9*8.317</f>
        <v>23.9835015740018</v>
      </c>
      <c r="S31" s="189">
        <f>S9*8.317</f>
        <v>19.1078929280891</v>
      </c>
      <c r="T31" s="189">
        <f>T9*8.317</f>
        <v>44.2040771393281</v>
      </c>
      <c r="U31" s="189">
        <f>U9*8.317</f>
        <v>78.1588828835804</v>
      </c>
      <c r="V31" s="189">
        <f>V9*8.317</f>
        <v>166.308339808404</v>
      </c>
      <c r="W31" s="189">
        <f>W9*8.317</f>
        <v>248.616642959986</v>
      </c>
      <c r="X31" s="190">
        <f>X9*8.317</f>
        <v>408.389052579368</v>
      </c>
    </row>
    <row r="32" ht="19" customHeight="1">
      <c r="A32" t="s" s="137">
        <v>90</v>
      </c>
      <c r="B32" s="197"/>
      <c r="C32" s="197"/>
      <c r="D32" s="197"/>
      <c r="E32" s="197"/>
      <c r="F32" s="189">
        <f>F10*8.317</f>
        <v>2.88436593796436</v>
      </c>
      <c r="G32" s="189">
        <f>G10*8.317</f>
        <v>0</v>
      </c>
      <c r="H32" s="189">
        <f>H10*8.317</f>
        <v>5.41879887150925</v>
      </c>
      <c r="I32" s="189">
        <f>I10*8.317</f>
        <v>9.12111423960395</v>
      </c>
      <c r="J32" s="189">
        <f>J10*8.317</f>
        <v>9.120680515214969</v>
      </c>
      <c r="K32" s="189">
        <f>K10*8.317</f>
        <v>10.5966363800864</v>
      </c>
      <c r="L32" s="189">
        <f>L10*8.317</f>
        <v>26.4889208570078</v>
      </c>
      <c r="M32" s="189">
        <f>M10*8.317</f>
        <v>24.7914194816401</v>
      </c>
      <c r="N32" s="189">
        <f>N10*8.317</f>
        <v>24.0286280434805</v>
      </c>
      <c r="O32" s="189">
        <f>O10*8.317</f>
        <v>23.8304902554465</v>
      </c>
      <c r="P32" s="189">
        <f>P10*8.317</f>
        <v>24.3681429249654</v>
      </c>
      <c r="Q32" s="189">
        <f>Q10*8.317</f>
        <v>22.077867010821</v>
      </c>
      <c r="R32" s="189">
        <f>R10*8.317</f>
        <v>26.7650372152718</v>
      </c>
      <c r="S32" s="189">
        <f>S10*8.317</f>
        <v>20.7846254378343</v>
      </c>
      <c r="T32" s="189">
        <f>T10*8.317</f>
        <v>45.569018156614</v>
      </c>
      <c r="U32" s="189">
        <f>U10*8.317</f>
        <v>75.34630618205711</v>
      </c>
      <c r="V32" s="189">
        <f>V10*8.317</f>
        <v>163.438620775170</v>
      </c>
      <c r="W32" s="189">
        <f>W10*8.317</f>
        <v>245.848238478994</v>
      </c>
      <c r="X32" s="190">
        <f>X10*8.317</f>
        <v>405.876741071184</v>
      </c>
    </row>
    <row r="33" ht="19" customHeight="1">
      <c r="A33" t="s" s="137">
        <v>91</v>
      </c>
      <c r="B33" s="197"/>
      <c r="C33" s="197"/>
      <c r="D33" s="197"/>
      <c r="E33" s="197"/>
      <c r="F33" s="189">
        <f>F11*8.317</f>
        <v>6.05535107356922</v>
      </c>
      <c r="G33" s="189">
        <f>G11*8.317</f>
        <v>5.41879887150925</v>
      </c>
      <c r="H33" s="189">
        <f>H11*8.317</f>
        <v>0</v>
      </c>
      <c r="I33" s="189">
        <f>I11*8.317</f>
        <v>4.47277221992739</v>
      </c>
      <c r="J33" s="189">
        <f>J11*8.317</f>
        <v>4.48194737142584</v>
      </c>
      <c r="K33" s="189">
        <f>K11*8.317</f>
        <v>5.58528472738963</v>
      </c>
      <c r="L33" s="189">
        <f>L11*8.317</f>
        <v>23.7619182826024</v>
      </c>
      <c r="M33" s="189">
        <f>M11*8.317</f>
        <v>30.0234045126821</v>
      </c>
      <c r="N33" s="189">
        <f>N11*8.317</f>
        <v>18.6354513375612</v>
      </c>
      <c r="O33" s="189">
        <f>O11*8.317</f>
        <v>23.7967457062684</v>
      </c>
      <c r="P33" s="189">
        <f>P11*8.317</f>
        <v>27.251007637527</v>
      </c>
      <c r="Q33" s="189">
        <f>Q11*8.317</f>
        <v>24.6317489599815</v>
      </c>
      <c r="R33" s="189">
        <f>R11*8.317</f>
        <v>28.3797760971008</v>
      </c>
      <c r="S33" s="189">
        <f>S11*8.317</f>
        <v>25.1097453908457</v>
      </c>
      <c r="T33" s="189">
        <f>T11*8.317</f>
        <v>40.864140530142</v>
      </c>
      <c r="U33" s="189">
        <f>U11*8.317</f>
        <v>76.9069845220976</v>
      </c>
      <c r="V33" s="189">
        <f>V11*8.317</f>
        <v>164.113520539914</v>
      </c>
      <c r="W33" s="189">
        <f>W11*8.317</f>
        <v>244.578840059156</v>
      </c>
      <c r="X33" s="190">
        <f>X11*8.317</f>
        <v>408.435682202860</v>
      </c>
    </row>
    <row r="34" ht="19" customHeight="1">
      <c r="A34" t="s" s="137">
        <v>49</v>
      </c>
      <c r="B34" s="197"/>
      <c r="C34" s="197"/>
      <c r="D34" s="197"/>
      <c r="E34" s="197"/>
      <c r="F34" s="189">
        <f>F12*8.317</f>
        <v>8.45243307211031</v>
      </c>
      <c r="G34" s="189">
        <f>G12*8.317</f>
        <v>9.12111423960395</v>
      </c>
      <c r="H34" s="189">
        <f>H12*8.317</f>
        <v>4.47277221992739</v>
      </c>
      <c r="I34" s="189">
        <f>I12*8.317</f>
        <v>0</v>
      </c>
      <c r="J34" s="189">
        <f>J12*8.317</f>
        <v>0.0225164504351733</v>
      </c>
      <c r="K34" s="189">
        <f>K12*8.317</f>
        <v>6.3196294375462</v>
      </c>
      <c r="L34" s="189">
        <f>L12*8.317</f>
        <v>19.6256748613188</v>
      </c>
      <c r="M34" s="189">
        <f>M12*8.317</f>
        <v>32.5456771997199</v>
      </c>
      <c r="N34" s="189">
        <f>N12*8.317</f>
        <v>16.0939882293683</v>
      </c>
      <c r="O34" s="189">
        <f>O12*8.317</f>
        <v>21.2855006851076</v>
      </c>
      <c r="P34" s="189">
        <f>P12*8.317</f>
        <v>26.9647642080576</v>
      </c>
      <c r="Q34" s="189">
        <f>Q12*8.317</f>
        <v>24.1097434777911</v>
      </c>
      <c r="R34" s="189">
        <f>R12*8.317</f>
        <v>26.9549851387614</v>
      </c>
      <c r="S34" s="189">
        <f>S12*8.317</f>
        <v>26.3653676724332</v>
      </c>
      <c r="T34" s="189">
        <f>T12*8.317</f>
        <v>36.5459500932556</v>
      </c>
      <c r="U34" s="189">
        <f>U12*8.317</f>
        <v>80.9614092538102</v>
      </c>
      <c r="V34" s="189">
        <f>V12*8.317</f>
        <v>167.735049137430</v>
      </c>
      <c r="W34" s="189">
        <f>W12*8.317</f>
        <v>247.022618852299</v>
      </c>
      <c r="X34" s="190">
        <f>X12*8.317</f>
        <v>412.661881189011</v>
      </c>
    </row>
    <row r="35" ht="19" customHeight="1">
      <c r="A35" t="s" s="137">
        <v>117</v>
      </c>
      <c r="B35" s="197"/>
      <c r="C35" s="197"/>
      <c r="D35" s="197"/>
      <c r="E35" s="197"/>
      <c r="F35" s="189">
        <f>F13*8.317</f>
        <v>8.44493727156147</v>
      </c>
      <c r="G35" s="189">
        <f>G13*8.317</f>
        <v>9.120680515214969</v>
      </c>
      <c r="H35" s="189">
        <f>H13*8.317</f>
        <v>4.48194737142584</v>
      </c>
      <c r="I35" s="189">
        <f>I13*8.317</f>
        <v>0.0225164504351733</v>
      </c>
      <c r="J35" s="189">
        <f>J13*8.317</f>
        <v>0</v>
      </c>
      <c r="K35" s="189">
        <f>K13*8.317</f>
        <v>6.34197059514063</v>
      </c>
      <c r="L35" s="189">
        <f>L13*8.317</f>
        <v>19.6089571607314</v>
      </c>
      <c r="M35" s="189">
        <f>M13*8.317</f>
        <v>32.5351567135361</v>
      </c>
      <c r="N35" s="189">
        <f>N13*8.317</f>
        <v>16.1073840366853</v>
      </c>
      <c r="O35" s="189">
        <f>O13*8.317</f>
        <v>21.2639941237727</v>
      </c>
      <c r="P35" s="189">
        <f>P13*8.317</f>
        <v>26.9443568110149</v>
      </c>
      <c r="Q35" s="189">
        <f>Q13*8.317</f>
        <v>24.0890580079813</v>
      </c>
      <c r="R35" s="189">
        <f>R13*8.317</f>
        <v>26.9327972305921</v>
      </c>
      <c r="S35" s="189">
        <f>S13*8.317</f>
        <v>26.3494361283181</v>
      </c>
      <c r="T35" s="189">
        <f>T13*8.317</f>
        <v>36.5427499808763</v>
      </c>
      <c r="U35" s="189">
        <f>U13*8.317</f>
        <v>80.97819981689599</v>
      </c>
      <c r="V35" s="189">
        <f>V13*8.317</f>
        <v>167.754417914525</v>
      </c>
      <c r="W35" s="189">
        <f>W13*8.317</f>
        <v>247.044817314987</v>
      </c>
      <c r="X35" s="190">
        <f>X13*8.317</f>
        <v>412.675258487780</v>
      </c>
    </row>
    <row r="36" ht="19" customHeight="1">
      <c r="A36" t="s" s="137">
        <v>93</v>
      </c>
      <c r="B36" s="197"/>
      <c r="C36" s="197"/>
      <c r="D36" s="197"/>
      <c r="E36" s="197"/>
      <c r="F36" s="189">
        <f>F14*8.317</f>
        <v>11.6357303797001</v>
      </c>
      <c r="G36" s="189">
        <f>G14*8.317</f>
        <v>10.5966363800864</v>
      </c>
      <c r="H36" s="189">
        <f>H14*8.317</f>
        <v>5.58528472738963</v>
      </c>
      <c r="I36" s="189">
        <f>I14*8.317</f>
        <v>6.3196294375462</v>
      </c>
      <c r="J36" s="189">
        <f>J14*8.317</f>
        <v>6.34197059514063</v>
      </c>
      <c r="K36" s="189">
        <f>K14*8.317</f>
        <v>0</v>
      </c>
      <c r="L36" s="189">
        <f>L14*8.317</f>
        <v>25.0221418848768</v>
      </c>
      <c r="M36" s="189">
        <f>M14*8.317</f>
        <v>35.3605155137849</v>
      </c>
      <c r="N36" s="189">
        <f>N14*8.317</f>
        <v>13.991593811140</v>
      </c>
      <c r="O36" s="189">
        <f>O14*8.317</f>
        <v>27.473866070252</v>
      </c>
      <c r="P36" s="189">
        <f>P14*8.317</f>
        <v>32.5063212186481</v>
      </c>
      <c r="Q36" s="189">
        <f>Q14*8.317</f>
        <v>29.7829623821827</v>
      </c>
      <c r="R36" s="189">
        <f>R14*8.317</f>
        <v>33.0576176560546</v>
      </c>
      <c r="S36" s="189">
        <f>S14*8.317</f>
        <v>30.6861367627302</v>
      </c>
      <c r="T36" s="189">
        <f>T14*8.317</f>
        <v>38.6369023938189</v>
      </c>
      <c r="U36" s="189">
        <f>U14*8.317</f>
        <v>75.8854082120173</v>
      </c>
      <c r="V36" s="189">
        <f>V14*8.317</f>
        <v>161.995589645530</v>
      </c>
      <c r="W36" s="189">
        <f>W14*8.317</f>
        <v>240.717148509179</v>
      </c>
      <c r="X36" s="190">
        <f>X14*8.317</f>
        <v>408.330269291188</v>
      </c>
    </row>
    <row r="37" ht="19" customHeight="1">
      <c r="A37" t="s" s="137">
        <v>95</v>
      </c>
      <c r="B37" s="197"/>
      <c r="C37" s="197"/>
      <c r="D37" s="197"/>
      <c r="E37" s="197"/>
      <c r="F37" s="189">
        <f>F15*8.317</f>
        <v>24.1502248392664</v>
      </c>
      <c r="G37" s="189">
        <f>G15*8.317</f>
        <v>26.4889208570078</v>
      </c>
      <c r="H37" s="189">
        <f>H15*8.317</f>
        <v>23.7619182826024</v>
      </c>
      <c r="I37" s="189">
        <f>I15*8.317</f>
        <v>19.6256748613188</v>
      </c>
      <c r="J37" s="189">
        <f>J15*8.317</f>
        <v>19.6089571607314</v>
      </c>
      <c r="K37" s="189">
        <f>K15*8.317</f>
        <v>25.0221418848768</v>
      </c>
      <c r="L37" s="189">
        <f>L15*8.317</f>
        <v>0</v>
      </c>
      <c r="M37" s="189">
        <f>M15*8.317</f>
        <v>41.9156056627599</v>
      </c>
      <c r="N37" s="189">
        <f>N15*8.317</f>
        <v>24.1846859259459</v>
      </c>
      <c r="O37" s="189">
        <f>O15*8.317</f>
        <v>14.2429173385433</v>
      </c>
      <c r="P37" s="189">
        <f>P15*8.317</f>
        <v>26.3776558752883</v>
      </c>
      <c r="Q37" s="189">
        <f>Q15*8.317</f>
        <v>23.8347275671339</v>
      </c>
      <c r="R37" s="189">
        <f>R15*8.317</f>
        <v>21.3662028986474</v>
      </c>
      <c r="S37" s="189">
        <f>S15*8.317</f>
        <v>31.9603632973967</v>
      </c>
      <c r="T37" s="189">
        <f>T15*8.317</f>
        <v>24.9178228506641</v>
      </c>
      <c r="U37" s="189">
        <f>U15*8.317</f>
        <v>100.536843137376</v>
      </c>
      <c r="V37" s="189">
        <f>V15*8.317</f>
        <v>186.998328306063</v>
      </c>
      <c r="W37" s="189">
        <f>W15*8.317</f>
        <v>263.780510455562</v>
      </c>
      <c r="X37" s="190">
        <f>X15*8.317</f>
        <v>431.042977729396</v>
      </c>
    </row>
    <row r="38" ht="19" customHeight="1">
      <c r="A38" t="s" s="137">
        <v>96</v>
      </c>
      <c r="B38" s="197"/>
      <c r="C38" s="197"/>
      <c r="D38" s="197"/>
      <c r="E38" s="197"/>
      <c r="F38" s="189">
        <f>F16*8.317</f>
        <v>24.2420122085441</v>
      </c>
      <c r="G38" s="189">
        <f>G16*8.317</f>
        <v>24.7914194816401</v>
      </c>
      <c r="H38" s="189">
        <f>H16*8.317</f>
        <v>30.0234045126821</v>
      </c>
      <c r="I38" s="189">
        <f>I16*8.317</f>
        <v>32.5456771997199</v>
      </c>
      <c r="J38" s="189">
        <f>J16*8.317</f>
        <v>32.5351567135361</v>
      </c>
      <c r="K38" s="189">
        <f>K16*8.317</f>
        <v>35.3605155137849</v>
      </c>
      <c r="L38" s="189">
        <f>L16*8.317</f>
        <v>41.9156056627599</v>
      </c>
      <c r="M38" s="189">
        <f>M16*8.317</f>
        <v>0</v>
      </c>
      <c r="N38" s="189">
        <f>N16*8.317</f>
        <v>48.4840244170882</v>
      </c>
      <c r="O38" s="189">
        <f>O16*8.317</f>
        <v>31.3496879319493</v>
      </c>
      <c r="P38" s="189">
        <f>P16*8.317</f>
        <v>19.8906632061786</v>
      </c>
      <c r="Q38" s="189">
        <f>Q16*8.317</f>
        <v>20.5877283860171</v>
      </c>
      <c r="R38" s="189">
        <f>R16*8.317</f>
        <v>26.779931043559</v>
      </c>
      <c r="S38" s="189">
        <f>S16*8.317</f>
        <v>11.2289359617849</v>
      </c>
      <c r="T38" s="189">
        <f>T16*8.317</f>
        <v>65.6521190269344</v>
      </c>
      <c r="U38" s="189">
        <f>U16*8.317</f>
        <v>79.8338567673303</v>
      </c>
      <c r="V38" s="189">
        <f>V16*8.317</f>
        <v>169.356246237837</v>
      </c>
      <c r="W38" s="189">
        <f>W16*8.317</f>
        <v>259.115697077169</v>
      </c>
      <c r="X38" s="190">
        <f>X16*8.317</f>
        <v>401.796773782717</v>
      </c>
    </row>
    <row r="39" ht="19" customHeight="1">
      <c r="A39" t="s" s="137">
        <v>94</v>
      </c>
      <c r="B39" s="197"/>
      <c r="C39" s="197"/>
      <c r="D39" s="197"/>
      <c r="E39" s="197"/>
      <c r="F39" s="189">
        <f>F17*8.317</f>
        <v>24.2420122085441</v>
      </c>
      <c r="G39" s="189">
        <f>G17*8.317</f>
        <v>24.0286280434805</v>
      </c>
      <c r="H39" s="189">
        <f>H17*8.317</f>
        <v>18.6354513375612</v>
      </c>
      <c r="I39" s="189">
        <f>I17*8.317</f>
        <v>16.0939882293683</v>
      </c>
      <c r="J39" s="189">
        <f>J17*8.317</f>
        <v>16.1073840366853</v>
      </c>
      <c r="K39" s="189">
        <f>K17*8.317</f>
        <v>13.991593811140</v>
      </c>
      <c r="L39" s="189">
        <f>L17*8.317</f>
        <v>24.1846859259459</v>
      </c>
      <c r="M39" s="189">
        <f>M17*8.317</f>
        <v>48.4840244170882</v>
      </c>
      <c r="N39" s="189">
        <f>N17*8.317</f>
        <v>0</v>
      </c>
      <c r="O39" s="189">
        <f>O17*8.317</f>
        <v>32.8042222193374</v>
      </c>
      <c r="P39" s="189">
        <f>P17*8.317</f>
        <v>41.7017743536553</v>
      </c>
      <c r="Q39" s="189">
        <f>Q17*8.317</f>
        <v>38.8627785924812</v>
      </c>
      <c r="R39" s="189">
        <f>R17*8.317</f>
        <v>40.1073846148177</v>
      </c>
      <c r="S39" s="189">
        <f>S17*8.317</f>
        <v>42.1839359627237</v>
      </c>
      <c r="T39" s="189">
        <f>T17*8.317</f>
        <v>27.8055830830965</v>
      </c>
      <c r="U39" s="189">
        <f>U17*8.317</f>
        <v>83.7826209467712</v>
      </c>
      <c r="V39" s="189">
        <f>V17*8.317</f>
        <v>166.765523870262</v>
      </c>
      <c r="W39" s="189">
        <f>W17*8.317</f>
        <v>240.114298102878</v>
      </c>
      <c r="X39" s="190">
        <f>X17*8.317</f>
        <v>416.290691011684</v>
      </c>
    </row>
    <row r="40" ht="19" customHeight="1">
      <c r="A40" t="s" s="137">
        <v>120</v>
      </c>
      <c r="B40" s="197"/>
      <c r="C40" s="197"/>
      <c r="D40" s="197"/>
      <c r="E40" s="197"/>
      <c r="F40" s="189">
        <f>F18*8.317</f>
        <v>21.0186776107331</v>
      </c>
      <c r="G40" s="189">
        <f>G18*8.317</f>
        <v>23.8304902554465</v>
      </c>
      <c r="H40" s="189">
        <f>H18*8.317</f>
        <v>23.7967457062684</v>
      </c>
      <c r="I40" s="189">
        <f>I18*8.317</f>
        <v>21.2855006851076</v>
      </c>
      <c r="J40" s="189">
        <f>J18*8.317</f>
        <v>21.2639941237727</v>
      </c>
      <c r="K40" s="189">
        <f>K18*8.317</f>
        <v>27.473866070252</v>
      </c>
      <c r="L40" s="189">
        <f>L18*8.317</f>
        <v>14.2429173385433</v>
      </c>
      <c r="M40" s="189">
        <f>M18*8.317</f>
        <v>31.3496879319493</v>
      </c>
      <c r="N40" s="189">
        <f>N18*8.317</f>
        <v>32.8042222193374</v>
      </c>
      <c r="O40" s="189">
        <f>O18*8.317</f>
        <v>0</v>
      </c>
      <c r="P40" s="189">
        <f>P18*8.317</f>
        <v>15.6029333716196</v>
      </c>
      <c r="Q40" s="189">
        <f>Q18*8.317</f>
        <v>12.1220399857602</v>
      </c>
      <c r="R40" s="189">
        <f>R18*8.317</f>
        <v>11.0778538890924</v>
      </c>
      <c r="S40" s="189">
        <f>S18*8.317</f>
        <v>21.8978749406881</v>
      </c>
      <c r="T40" s="189">
        <f>T18*8.317</f>
        <v>37.7810511595403</v>
      </c>
      <c r="U40" s="189">
        <f>U18*8.317</f>
        <v>98.56267683765689</v>
      </c>
      <c r="V40" s="189">
        <f>V18*8.317</f>
        <v>186.575396323461</v>
      </c>
      <c r="W40" s="189">
        <f>W18*8.317</f>
        <v>267.552331506687</v>
      </c>
      <c r="X40" s="190">
        <f>X18*8.317</f>
        <v>428.175825155307</v>
      </c>
    </row>
    <row r="41" ht="19" customHeight="1">
      <c r="A41" t="s" s="137">
        <v>121</v>
      </c>
      <c r="B41" s="197"/>
      <c r="C41" s="197"/>
      <c r="D41" s="197"/>
      <c r="E41" s="197"/>
      <c r="F41" s="189">
        <f>F19*8.317</f>
        <v>21.9012117836708</v>
      </c>
      <c r="G41" s="189">
        <f>G19*8.317</f>
        <v>24.3681429249654</v>
      </c>
      <c r="H41" s="189">
        <f>H19*8.317</f>
        <v>27.251007637527</v>
      </c>
      <c r="I41" s="189">
        <f>I19*8.317</f>
        <v>26.9647642080576</v>
      </c>
      <c r="J41" s="189">
        <f>J19*8.317</f>
        <v>26.9443568110149</v>
      </c>
      <c r="K41" s="189">
        <f>K19*8.317</f>
        <v>32.5063212186481</v>
      </c>
      <c r="L41" s="189">
        <f>L19*8.317</f>
        <v>26.3776558752883</v>
      </c>
      <c r="M41" s="189">
        <f>M19*8.317</f>
        <v>19.8906632061786</v>
      </c>
      <c r="N41" s="189">
        <f>N19*8.317</f>
        <v>41.7017743536553</v>
      </c>
      <c r="O41" s="189">
        <f>O19*8.317</f>
        <v>15.6029333716196</v>
      </c>
      <c r="P41" s="189">
        <f>P19*8.317</f>
        <v>0</v>
      </c>
      <c r="Q41" s="189">
        <f>Q19*8.317</f>
        <v>4.27921723045764</v>
      </c>
      <c r="R41" s="189">
        <f>R19*8.317</f>
        <v>7.12702221439299</v>
      </c>
      <c r="S41" s="189">
        <f>S19*8.317</f>
        <v>9.263980914266581</v>
      </c>
      <c r="T41" s="189">
        <f>T19*8.317</f>
        <v>51.2833635697046</v>
      </c>
      <c r="U41" s="189">
        <f>U19*8.317</f>
        <v>94.8913044832078</v>
      </c>
      <c r="V41" s="189">
        <f>V19*8.317</f>
        <v>184.314134028087</v>
      </c>
      <c r="W41" s="189">
        <f>W19*8.317</f>
        <v>269.646623377086</v>
      </c>
      <c r="X41" s="190">
        <f>X19*8.317</f>
        <v>419.177229711234</v>
      </c>
    </row>
    <row r="42" ht="19" customHeight="1">
      <c r="A42" t="s" s="137">
        <v>122</v>
      </c>
      <c r="B42" s="197"/>
      <c r="C42" s="197"/>
      <c r="D42" s="197"/>
      <c r="E42" s="197"/>
      <c r="F42" s="189">
        <f>F20*8.317</f>
        <v>19.4784471684247</v>
      </c>
      <c r="G42" s="189">
        <f>G20*8.317</f>
        <v>22.077867010821</v>
      </c>
      <c r="H42" s="189">
        <f>H20*8.317</f>
        <v>24.6317489599815</v>
      </c>
      <c r="I42" s="189">
        <f>I20*8.317</f>
        <v>24.1097434777911</v>
      </c>
      <c r="J42" s="189">
        <f>J20*8.317</f>
        <v>24.0890580079813</v>
      </c>
      <c r="K42" s="189">
        <f>K20*8.317</f>
        <v>29.7829623821827</v>
      </c>
      <c r="L42" s="189">
        <f>L20*8.317</f>
        <v>23.8347275671339</v>
      </c>
      <c r="M42" s="189">
        <f>M20*8.317</f>
        <v>20.5877283860171</v>
      </c>
      <c r="N42" s="189">
        <f>N20*8.317</f>
        <v>38.8627785924812</v>
      </c>
      <c r="O42" s="189">
        <f>O20*8.317</f>
        <v>12.1220399857602</v>
      </c>
      <c r="P42" s="189">
        <f>P20*8.317</f>
        <v>4.27921723045764</v>
      </c>
      <c r="Q42" s="189">
        <f>Q20*8.317</f>
        <v>0</v>
      </c>
      <c r="R42" s="189">
        <f>R20*8.317</f>
        <v>6.90877448428587</v>
      </c>
      <c r="S42" s="189">
        <f>S20*8.317</f>
        <v>10.4495411740278</v>
      </c>
      <c r="T42" s="189">
        <f>T20*8.317</f>
        <v>48.5582845454109</v>
      </c>
      <c r="U42" s="189">
        <f>U20*8.317</f>
        <v>93.9155851421891</v>
      </c>
      <c r="V42" s="189">
        <f>V20*8.317</f>
        <v>183.086462814655</v>
      </c>
      <c r="W42" s="189">
        <f>W20*8.317</f>
        <v>267.652443457689</v>
      </c>
      <c r="X42" s="190">
        <f>X20*8.317</f>
        <v>419.999161976706</v>
      </c>
    </row>
    <row r="43" ht="19" customHeight="1">
      <c r="A43" t="s" s="137">
        <v>123</v>
      </c>
      <c r="B43" s="197"/>
      <c r="C43" s="197"/>
      <c r="D43" s="197"/>
      <c r="E43" s="197"/>
      <c r="F43" s="189">
        <f>F21*8.317</f>
        <v>23.9835015740018</v>
      </c>
      <c r="G43" s="189">
        <f>G21*8.317</f>
        <v>26.7650372152718</v>
      </c>
      <c r="H43" s="189">
        <f>H21*8.317</f>
        <v>28.3797760971008</v>
      </c>
      <c r="I43" s="189">
        <f>I21*8.317</f>
        <v>26.9549851387614</v>
      </c>
      <c r="J43" s="189">
        <f>J21*8.317</f>
        <v>26.9327972305921</v>
      </c>
      <c r="K43" s="189">
        <f>K21*8.317</f>
        <v>33.0576176560546</v>
      </c>
      <c r="L43" s="189">
        <f>L21*8.317</f>
        <v>21.3662028986474</v>
      </c>
      <c r="M43" s="189">
        <f>M21*8.317</f>
        <v>26.779931043559</v>
      </c>
      <c r="N43" s="189">
        <f>N21*8.317</f>
        <v>40.1073846148177</v>
      </c>
      <c r="O43" s="189">
        <f>O21*8.317</f>
        <v>11.0778538890924</v>
      </c>
      <c r="P43" s="189">
        <f>P21*8.317</f>
        <v>7.12702221439299</v>
      </c>
      <c r="Q43" s="189">
        <f>Q21*8.317</f>
        <v>6.90877448428587</v>
      </c>
      <c r="R43" s="189">
        <f>R21*8.317</f>
        <v>0</v>
      </c>
      <c r="S43" s="189">
        <f>S21*8.317</f>
        <v>16.111495019229</v>
      </c>
      <c r="T43" s="189">
        <f>T21*8.317</f>
        <v>46.0046263902299</v>
      </c>
      <c r="U43" s="189">
        <f>U21*8.317</f>
        <v>99.9688645759752</v>
      </c>
      <c r="V43" s="189">
        <f>V21*8.317</f>
        <v>189.061622221675</v>
      </c>
      <c r="W43" s="189">
        <f>W21*8.317</f>
        <v>272.589050456752</v>
      </c>
      <c r="X43" s="190">
        <f>X21*8.317</f>
        <v>425.560733938714</v>
      </c>
    </row>
    <row r="44" ht="19" customHeight="1">
      <c r="A44" t="s" s="137">
        <v>124</v>
      </c>
      <c r="B44" s="197"/>
      <c r="C44" s="197"/>
      <c r="D44" s="197"/>
      <c r="E44" s="197"/>
      <c r="F44" s="189">
        <f>F22*8.317</f>
        <v>19.1078929280891</v>
      </c>
      <c r="G44" s="189">
        <f>G22*8.317</f>
        <v>20.7846254378343</v>
      </c>
      <c r="H44" s="189">
        <f>H22*8.317</f>
        <v>25.1097453908457</v>
      </c>
      <c r="I44" s="189">
        <f>I22*8.317</f>
        <v>26.3653676724332</v>
      </c>
      <c r="J44" s="189">
        <f>J22*8.317</f>
        <v>26.3494361283181</v>
      </c>
      <c r="K44" s="189">
        <f>K22*8.317</f>
        <v>30.6861367627302</v>
      </c>
      <c r="L44" s="189">
        <f>L22*8.317</f>
        <v>31.9603632973967</v>
      </c>
      <c r="M44" s="189">
        <f>M22*8.317</f>
        <v>11.2289359617849</v>
      </c>
      <c r="N44" s="189">
        <f>N22*8.317</f>
        <v>42.1839359627237</v>
      </c>
      <c r="O44" s="189">
        <f>O22*8.317</f>
        <v>21.8978749406881</v>
      </c>
      <c r="P44" s="189">
        <f>P22*8.317</f>
        <v>9.263980914266581</v>
      </c>
      <c r="Q44" s="189">
        <f>Q22*8.317</f>
        <v>10.4495411740278</v>
      </c>
      <c r="R44" s="189">
        <f>R22*8.317</f>
        <v>16.111495019229</v>
      </c>
      <c r="S44" s="189">
        <f>S22*8.317</f>
        <v>0</v>
      </c>
      <c r="T44" s="189">
        <f>T22*8.317</f>
        <v>56.4056694075904</v>
      </c>
      <c r="U44" s="189">
        <f>U22*8.317</f>
        <v>86.564524363861</v>
      </c>
      <c r="V44" s="189">
        <f>V22*8.317</f>
        <v>176.164312436688</v>
      </c>
      <c r="W44" s="189">
        <f>W22*8.317</f>
        <v>263.179254966910</v>
      </c>
      <c r="X44" s="190">
        <f>X22*8.317</f>
        <v>410.199001329316</v>
      </c>
    </row>
    <row r="45" ht="19" customHeight="1">
      <c r="A45" t="s" s="137">
        <v>97</v>
      </c>
      <c r="B45" s="197"/>
      <c r="C45" s="197"/>
      <c r="D45" s="197"/>
      <c r="E45" s="197"/>
      <c r="F45" s="189">
        <f>F23*8.317</f>
        <v>44.2040771393281</v>
      </c>
      <c r="G45" s="189">
        <f>G23*8.317</f>
        <v>45.569018156614</v>
      </c>
      <c r="H45" s="189">
        <f>H23*8.317</f>
        <v>40.864140530142</v>
      </c>
      <c r="I45" s="189">
        <f>I23*8.317</f>
        <v>36.5459500932556</v>
      </c>
      <c r="J45" s="189">
        <f>J23*8.317</f>
        <v>36.5427499808763</v>
      </c>
      <c r="K45" s="189">
        <f>K23*8.317</f>
        <v>38.6369023938189</v>
      </c>
      <c r="L45" s="189">
        <f>L23*8.317</f>
        <v>24.9178228506641</v>
      </c>
      <c r="M45" s="189">
        <f>M23*8.317</f>
        <v>65.6521190269344</v>
      </c>
      <c r="N45" s="189">
        <f>N23*8.317</f>
        <v>27.8055830830965</v>
      </c>
      <c r="O45" s="189">
        <f>O23*8.317</f>
        <v>37.7810511595403</v>
      </c>
      <c r="P45" s="189">
        <f>P23*8.317</f>
        <v>51.2833635697046</v>
      </c>
      <c r="Q45" s="189">
        <f>Q23*8.317</f>
        <v>48.5582845454109</v>
      </c>
      <c r="R45" s="189">
        <f>R23*8.317</f>
        <v>46.0046263902299</v>
      </c>
      <c r="S45" s="189">
        <f>S23*8.317</f>
        <v>56.4056694075904</v>
      </c>
      <c r="T45" s="189">
        <f>T23*8.317</f>
        <v>0</v>
      </c>
      <c r="U45" s="189">
        <f>U23*8.317</f>
        <v>111.435135966903</v>
      </c>
      <c r="V45" s="189">
        <f>V23*8.317</f>
        <v>192.772593244422</v>
      </c>
      <c r="W45" s="189">
        <f>W23*8.317</f>
        <v>260.528959696681</v>
      </c>
      <c r="X45" s="190">
        <f>X23*8.317</f>
        <v>443.611893671816</v>
      </c>
    </row>
    <row r="46" ht="19" customHeight="1">
      <c r="A46" t="s" s="137">
        <v>98</v>
      </c>
      <c r="B46" s="197"/>
      <c r="C46" s="197"/>
      <c r="D46" s="197"/>
      <c r="E46" s="197"/>
      <c r="F46" s="189">
        <f>F24*8.317</f>
        <v>78.1588828835804</v>
      </c>
      <c r="G46" s="189">
        <f>G24*8.317</f>
        <v>75.34630618205711</v>
      </c>
      <c r="H46" s="189">
        <f>H24*8.317</f>
        <v>76.9069845220976</v>
      </c>
      <c r="I46" s="189">
        <f>I24*8.317</f>
        <v>80.9614092538102</v>
      </c>
      <c r="J46" s="189">
        <f>J24*8.317</f>
        <v>80.97819981689599</v>
      </c>
      <c r="K46" s="189">
        <f>K24*8.317</f>
        <v>75.8854082120173</v>
      </c>
      <c r="L46" s="189">
        <f>L24*8.317</f>
        <v>100.536843137376</v>
      </c>
      <c r="M46" s="189">
        <f>M24*8.317</f>
        <v>79.8338567673303</v>
      </c>
      <c r="N46" s="189">
        <f>N24*8.317</f>
        <v>83.7826209467712</v>
      </c>
      <c r="O46" s="189">
        <f>O24*8.317</f>
        <v>98.56267683765689</v>
      </c>
      <c r="P46" s="189">
        <f>P24*8.317</f>
        <v>94.8913044832078</v>
      </c>
      <c r="Q46" s="189">
        <f>Q24*8.317</f>
        <v>93.9155851421891</v>
      </c>
      <c r="R46" s="189">
        <f>R24*8.317</f>
        <v>99.9688645759752</v>
      </c>
      <c r="S46" s="189">
        <f>S24*8.317</f>
        <v>86.564524363861</v>
      </c>
      <c r="T46" s="189">
        <f>T24*8.317</f>
        <v>111.435135966903</v>
      </c>
      <c r="U46" s="189">
        <f>U24*8.317</f>
        <v>0</v>
      </c>
      <c r="V46" s="189">
        <f>V24*8.317</f>
        <v>89.71532508693041</v>
      </c>
      <c r="W46" s="189">
        <f>W24*8.317</f>
        <v>183.602777180117</v>
      </c>
      <c r="X46" s="190">
        <f>X24*8.317</f>
        <v>336.165495911280</v>
      </c>
    </row>
    <row r="47" ht="19" customHeight="1">
      <c r="A47" t="s" s="137">
        <v>99</v>
      </c>
      <c r="B47" s="197"/>
      <c r="C47" s="197"/>
      <c r="D47" s="197"/>
      <c r="E47" s="197"/>
      <c r="F47" s="189">
        <f>F25*8.317</f>
        <v>166.308339808404</v>
      </c>
      <c r="G47" s="189">
        <f>G25*8.317</f>
        <v>163.438620775170</v>
      </c>
      <c r="H47" s="189">
        <f>H25*8.317</f>
        <v>164.113520539914</v>
      </c>
      <c r="I47" s="189">
        <f>I25*8.317</f>
        <v>167.735049137430</v>
      </c>
      <c r="J47" s="189">
        <f>J25*8.317</f>
        <v>167.754417914525</v>
      </c>
      <c r="K47" s="189">
        <f>K25*8.317</f>
        <v>161.995589645530</v>
      </c>
      <c r="L47" s="189">
        <f>L25*8.317</f>
        <v>186.998328306063</v>
      </c>
      <c r="M47" s="189">
        <f>M25*8.317</f>
        <v>169.356246237837</v>
      </c>
      <c r="N47" s="189">
        <f>N25*8.317</f>
        <v>166.765523870262</v>
      </c>
      <c r="O47" s="189">
        <f>O25*8.317</f>
        <v>186.575396323461</v>
      </c>
      <c r="P47" s="189">
        <f>P25*8.317</f>
        <v>184.314134028087</v>
      </c>
      <c r="Q47" s="189">
        <f>Q25*8.317</f>
        <v>183.086462814655</v>
      </c>
      <c r="R47" s="189">
        <f>R25*8.317</f>
        <v>189.061622221675</v>
      </c>
      <c r="S47" s="189">
        <f>S25*8.317</f>
        <v>176.164312436688</v>
      </c>
      <c r="T47" s="189">
        <f>T25*8.317</f>
        <v>192.772593244422</v>
      </c>
      <c r="U47" s="189">
        <f>U25*8.317</f>
        <v>89.71532508693041</v>
      </c>
      <c r="V47" s="189">
        <f>V25*8.317</f>
        <v>0</v>
      </c>
      <c r="W47" s="189">
        <f>W25*8.317</f>
        <v>108.726214514949</v>
      </c>
      <c r="X47" s="190">
        <f>X25*8.317</f>
        <v>272.356109414819</v>
      </c>
    </row>
    <row r="48" ht="19" customHeight="1">
      <c r="A48" t="s" s="137">
        <v>53</v>
      </c>
      <c r="B48" s="197"/>
      <c r="C48" s="197"/>
      <c r="D48" s="197"/>
      <c r="E48" s="197"/>
      <c r="F48" s="189">
        <f>F26*8.317</f>
        <v>248.616642959986</v>
      </c>
      <c r="G48" s="189">
        <f>G26*8.317</f>
        <v>245.848238478994</v>
      </c>
      <c r="H48" s="189">
        <f>H26*8.317</f>
        <v>244.578840059156</v>
      </c>
      <c r="I48" s="189">
        <f>I26*8.317</f>
        <v>247.022618852299</v>
      </c>
      <c r="J48" s="189">
        <f>J26*8.317</f>
        <v>247.044817314987</v>
      </c>
      <c r="K48" s="189">
        <f>K26*8.317</f>
        <v>240.717148509179</v>
      </c>
      <c r="L48" s="189">
        <f>L26*8.317</f>
        <v>263.780510455562</v>
      </c>
      <c r="M48" s="189">
        <f>M26*8.317</f>
        <v>259.115697077169</v>
      </c>
      <c r="N48" s="189">
        <f>N26*8.317</f>
        <v>240.114298102878</v>
      </c>
      <c r="O48" s="189">
        <f>O26*8.317</f>
        <v>267.552331506687</v>
      </c>
      <c r="P48" s="189">
        <f>P26*8.317</f>
        <v>269.646623377086</v>
      </c>
      <c r="Q48" s="189">
        <f>Q26*8.317</f>
        <v>267.652443457689</v>
      </c>
      <c r="R48" s="189">
        <f>R26*8.317</f>
        <v>272.589050456752</v>
      </c>
      <c r="S48" s="189">
        <f>S26*8.317</f>
        <v>263.179254966910</v>
      </c>
      <c r="T48" s="189">
        <f>T26*8.317</f>
        <v>260.528959696681</v>
      </c>
      <c r="U48" s="189">
        <f>U26*8.317</f>
        <v>183.602777180117</v>
      </c>
      <c r="V48" s="189">
        <f>V26*8.317</f>
        <v>108.726214514949</v>
      </c>
      <c r="W48" s="189">
        <f>W26*8.317</f>
        <v>0</v>
      </c>
      <c r="X48" s="190">
        <f>X26*8.317</f>
        <v>292.249674382625</v>
      </c>
    </row>
    <row r="49" ht="20" customHeight="1">
      <c r="A49" t="s" s="198">
        <v>100</v>
      </c>
      <c r="B49" s="193"/>
      <c r="C49" s="193"/>
      <c r="D49" s="193"/>
      <c r="E49" s="193"/>
      <c r="F49" s="193">
        <f>F27*8.317</f>
        <v>408.389052579368</v>
      </c>
      <c r="G49" s="193">
        <f>G27*8.317</f>
        <v>405.876741071184</v>
      </c>
      <c r="H49" s="193">
        <f>H27*8.317</f>
        <v>408.435682202860</v>
      </c>
      <c r="I49" s="193">
        <f>I27*8.317</f>
        <v>412.661881189011</v>
      </c>
      <c r="J49" s="193">
        <f>J27*8.317</f>
        <v>412.675258487780</v>
      </c>
      <c r="K49" s="193">
        <f>K27*8.317</f>
        <v>408.330269291188</v>
      </c>
      <c r="L49" s="193">
        <f>L27*8.317</f>
        <v>431.042977729396</v>
      </c>
      <c r="M49" s="193">
        <f>M27*8.317</f>
        <v>401.796773782717</v>
      </c>
      <c r="N49" s="193">
        <f>N27*8.317</f>
        <v>416.290691011684</v>
      </c>
      <c r="O49" s="193">
        <f>O27*8.317</f>
        <v>428.175825155307</v>
      </c>
      <c r="P49" s="193">
        <f>P27*8.317</f>
        <v>419.177229711234</v>
      </c>
      <c r="Q49" s="193">
        <f>Q27*8.317</f>
        <v>419.999161976706</v>
      </c>
      <c r="R49" s="193">
        <f>R27*8.317</f>
        <v>425.560733938714</v>
      </c>
      <c r="S49" s="193">
        <f>S27*8.317</f>
        <v>410.199001329316</v>
      </c>
      <c r="T49" s="193">
        <f>T27*8.317</f>
        <v>443.611893671816</v>
      </c>
      <c r="U49" s="193">
        <f>U27*8.317</f>
        <v>336.165495911280</v>
      </c>
      <c r="V49" s="193">
        <f>V27*8.317</f>
        <v>272.356109414819</v>
      </c>
      <c r="W49" s="193">
        <f>W27*8.317</f>
        <v>292.249674382625</v>
      </c>
      <c r="X49" s="194">
        <f>X27*8.317</f>
        <v>0</v>
      </c>
    </row>
    <row r="50" ht="21" customHeight="1">
      <c r="A50" s="182"/>
      <c r="B50" s="195"/>
      <c r="C50" s="195"/>
      <c r="D50" s="195"/>
      <c r="E50" s="195"/>
      <c r="F50" s="180"/>
      <c r="G50" s="199"/>
      <c r="H50" s="199"/>
      <c r="I50" s="199"/>
      <c r="J50" s="199"/>
      <c r="K50" s="199"/>
      <c r="L50" s="199"/>
      <c r="M50" s="199"/>
      <c r="N50" s="199"/>
      <c r="O50" s="199"/>
      <c r="P50" s="199"/>
      <c r="Q50" s="199"/>
      <c r="R50" s="199"/>
      <c r="S50" s="199"/>
      <c r="T50" s="199"/>
      <c r="U50" s="199"/>
      <c r="V50" s="199"/>
      <c r="W50" s="199"/>
      <c r="X50" s="200"/>
    </row>
    <row r="51" ht="21" customHeight="1">
      <c r="A51" t="s" s="127">
        <v>130</v>
      </c>
      <c r="B51" s="161"/>
      <c r="C51" s="161"/>
      <c r="D51" s="161"/>
      <c r="E51" s="161"/>
      <c r="F51" s="162"/>
      <c r="G51" s="201"/>
      <c r="H51" s="168"/>
      <c r="I51" s="168"/>
      <c r="J51" s="168"/>
      <c r="K51" s="168"/>
      <c r="L51" s="168"/>
      <c r="M51" s="168"/>
      <c r="N51" s="168"/>
      <c r="O51" s="168"/>
      <c r="P51" s="168"/>
      <c r="Q51" s="168"/>
      <c r="R51" s="168"/>
      <c r="S51" s="168"/>
      <c r="T51" s="168"/>
      <c r="U51" s="168"/>
      <c r="V51" s="168"/>
      <c r="W51" s="168"/>
      <c r="X51" s="202"/>
    </row>
    <row r="52" ht="21" customHeight="1">
      <c r="A52" t="s" s="203">
        <v>131</v>
      </c>
      <c r="B52" s="204"/>
      <c r="C52" s="204"/>
      <c r="D52" s="204"/>
      <c r="E52" s="204"/>
      <c r="F52" s="205">
        <v>0.3</v>
      </c>
      <c r="G52" s="9"/>
      <c r="H52" s="10"/>
      <c r="I52" s="10"/>
      <c r="J52" s="10"/>
      <c r="K52" s="10"/>
      <c r="L52" s="10"/>
      <c r="M52" s="10"/>
      <c r="N52" s="10"/>
      <c r="O52" s="10"/>
      <c r="P52" s="10"/>
      <c r="Q52" s="10"/>
      <c r="R52" s="10"/>
      <c r="S52" s="10"/>
      <c r="T52" s="10"/>
      <c r="U52" s="10"/>
      <c r="V52" s="10"/>
      <c r="W52" s="10"/>
      <c r="X52" s="11"/>
    </row>
    <row r="53" ht="21" customHeight="1">
      <c r="A53" s="157"/>
      <c r="B53" s="158"/>
      <c r="C53" s="158"/>
      <c r="D53" s="158"/>
      <c r="E53" s="158"/>
      <c r="F53" s="158"/>
      <c r="G53" s="173"/>
      <c r="H53" s="173"/>
      <c r="I53" s="173"/>
      <c r="J53" s="173"/>
      <c r="K53" s="173"/>
      <c r="L53" s="173"/>
      <c r="M53" s="173"/>
      <c r="N53" s="173"/>
      <c r="O53" s="173"/>
      <c r="P53" s="173"/>
      <c r="Q53" s="173"/>
      <c r="R53" s="173"/>
      <c r="S53" s="173"/>
      <c r="T53" s="173"/>
      <c r="U53" s="173"/>
      <c r="V53" s="173"/>
      <c r="W53" s="173"/>
      <c r="X53" s="206"/>
    </row>
    <row r="54" ht="21" customHeight="1">
      <c r="A54" t="s" s="127">
        <v>132</v>
      </c>
      <c r="B54" s="161"/>
      <c r="C54" s="161"/>
      <c r="D54" s="161"/>
      <c r="E54" s="161"/>
      <c r="F54" s="161"/>
      <c r="G54" s="161"/>
      <c r="H54" s="161"/>
      <c r="I54" s="161"/>
      <c r="J54" s="161"/>
      <c r="K54" s="161"/>
      <c r="L54" s="161"/>
      <c r="M54" s="161"/>
      <c r="N54" s="161"/>
      <c r="O54" s="161"/>
      <c r="P54" s="161"/>
      <c r="Q54" s="161"/>
      <c r="R54" s="161"/>
      <c r="S54" s="161"/>
      <c r="T54" s="161"/>
      <c r="U54" s="161"/>
      <c r="V54" s="161"/>
      <c r="W54" s="161"/>
      <c r="X54" s="162"/>
    </row>
    <row r="55" ht="20" customHeight="1">
      <c r="A55" t="s" s="184">
        <v>116</v>
      </c>
      <c r="B55" s="185"/>
      <c r="C55" s="185"/>
      <c r="D55" s="185"/>
      <c r="E55" s="185"/>
      <c r="F55" t="s" s="186">
        <v>129</v>
      </c>
      <c r="G55" t="s" s="186">
        <v>90</v>
      </c>
      <c r="H55" t="s" s="186">
        <v>91</v>
      </c>
      <c r="I55" t="s" s="186">
        <v>49</v>
      </c>
      <c r="J55" t="s" s="186">
        <v>117</v>
      </c>
      <c r="K55" t="s" s="186">
        <v>93</v>
      </c>
      <c r="L55" t="s" s="196">
        <f>$A62</f>
        <v>118</v>
      </c>
      <c r="M55" t="s" s="196">
        <f>$A63</f>
        <v>119</v>
      </c>
      <c r="N55" t="s" s="186">
        <v>94</v>
      </c>
      <c r="O55" t="s" s="186">
        <v>120</v>
      </c>
      <c r="P55" t="s" s="186">
        <v>121</v>
      </c>
      <c r="Q55" t="s" s="186">
        <v>122</v>
      </c>
      <c r="R55" t="s" s="186">
        <v>123</v>
      </c>
      <c r="S55" t="s" s="186">
        <v>124</v>
      </c>
      <c r="T55" t="s" s="186">
        <v>97</v>
      </c>
      <c r="U55" t="s" s="186">
        <v>98</v>
      </c>
      <c r="V55" t="s" s="186">
        <v>99</v>
      </c>
      <c r="W55" t="s" s="186">
        <v>53</v>
      </c>
      <c r="X55" t="s" s="187">
        <v>100</v>
      </c>
    </row>
    <row r="56" ht="19" customHeight="1">
      <c r="A56" t="s" s="137">
        <v>129</v>
      </c>
      <c r="B56" s="197"/>
      <c r="C56" s="197"/>
      <c r="D56" s="197"/>
      <c r="E56" s="197"/>
      <c r="F56" s="189">
        <f>SQRT((F9*"1.496E11"*4/9.81/$F$52))/60/60/24</f>
        <v>0</v>
      </c>
      <c r="G56" s="189">
        <f>SQRT((G9*"1.496E11"*4/9.81/$F$52))/60/60/24</f>
        <v>3.07346836476759</v>
      </c>
      <c r="H56" s="189">
        <f>SQRT((H9*"1.496E11"*4/9.81/$F$52))/60/60/24</f>
        <v>4.4532105768859</v>
      </c>
      <c r="I56" s="189">
        <f>SQRT((I9*"1.496E11"*4/9.81/$F$52))/60/60/24</f>
        <v>5.26131662660345</v>
      </c>
      <c r="J56" s="189">
        <f>SQRT((J9*"1.496E11"*4/9.81/$F$52))/60/60/24</f>
        <v>5.25898318443543</v>
      </c>
      <c r="K56" s="189">
        <f>SQRT((K9*"1.496E11"*4/9.81/$F$52))/60/60/24</f>
        <v>6.17305850243667</v>
      </c>
      <c r="L56" s="189">
        <f>SQRT((L9*"1.496E11"*4/9.81/$F$52))/60/60/24</f>
        <v>8.89332487264541</v>
      </c>
      <c r="M56" s="189">
        <f>SQRT((M9*"1.496E11"*4/9.81/$F$52))/60/60/24</f>
        <v>8.91020920292323</v>
      </c>
      <c r="N56" s="189">
        <f>SQRT((N9*"1.496E11"*4/9.81/$F$52))/60/60/24</f>
        <v>8.91020920292323</v>
      </c>
      <c r="O56" s="189">
        <f>SQRT((O9*"1.496E11"*4/9.81/$F$52))/60/60/24</f>
        <v>8.29671673275949</v>
      </c>
      <c r="P56" s="189">
        <f>SQRT((P9*"1.496E11"*4/9.81/$F$52))/60/60/24</f>
        <v>8.46910740405186</v>
      </c>
      <c r="Q56" s="189">
        <f>SQRT((Q9*"1.496E11"*4/9.81/$F$52))/60/60/24</f>
        <v>7.9869457401183</v>
      </c>
      <c r="R56" s="189">
        <f>SQRT((R9*"1.496E11"*4/9.81/$F$52))/60/60/24</f>
        <v>8.86257377046301</v>
      </c>
      <c r="S56" s="189">
        <f>SQRT((S9*"1.496E11"*4/9.81/$F$52))/60/60/24</f>
        <v>7.91060988579701</v>
      </c>
      <c r="T56" s="189">
        <f>SQRT((T9*"1.496E11"*4/9.81/$F$52))/60/60/24</f>
        <v>12.0319143641708</v>
      </c>
      <c r="U56" s="189">
        <f>SQRT((U9*"1.496E11"*4/9.81/$F$52))/60/60/24</f>
        <v>15.9989963702808</v>
      </c>
      <c r="V56" s="189">
        <f>SQRT((V9*"1.496E11"*4/9.81/$F$52))/60/60/24</f>
        <v>23.3378359255303</v>
      </c>
      <c r="W56" s="189">
        <f>SQRT((W9*"1.496E11"*4/9.81/$F$52))/60/60/24</f>
        <v>28.5343948858531</v>
      </c>
      <c r="X56" s="190">
        <f>SQRT((X9*"1.496E11"*4/9.81/$F$52))/60/60/24</f>
        <v>36.5713181502732</v>
      </c>
    </row>
    <row r="57" ht="19" customHeight="1">
      <c r="A57" t="s" s="137">
        <v>90</v>
      </c>
      <c r="B57" s="197"/>
      <c r="C57" s="197"/>
      <c r="D57" s="197"/>
      <c r="E57" s="197"/>
      <c r="F57" s="189">
        <f>SQRT((F10*"1.496E11"*4/9.81/$F$52))/60/60/24</f>
        <v>3.07346836476759</v>
      </c>
      <c r="G57" s="189">
        <f>SQRT((G10*"1.496E11"*4/9.81/$F$52))/60/60/24</f>
        <v>0</v>
      </c>
      <c r="H57" s="189">
        <f>SQRT((H10*"1.496E11"*4/9.81/$F$52))/60/60/24</f>
        <v>4.21264714729536</v>
      </c>
      <c r="I57" s="189">
        <f>SQRT((I10*"1.496E11"*4/9.81/$F$52))/60/60/24</f>
        <v>5.46547001197577</v>
      </c>
      <c r="J57" s="189">
        <f>SQRT((J10*"1.496E11"*4/9.81/$F$52))/60/60/24</f>
        <v>5.46534006426542</v>
      </c>
      <c r="K57" s="189">
        <f>SQRT((K10*"1.496E11"*4/9.81/$F$52))/60/60/24</f>
        <v>5.89098048589622</v>
      </c>
      <c r="L57" s="189">
        <f>SQRT((L10*"1.496E11"*4/9.81/$F$52))/60/60/24</f>
        <v>9.31398857856782</v>
      </c>
      <c r="M57" s="189">
        <f>SQRT((M10*"1.496E11"*4/9.81/$F$52))/60/60/24</f>
        <v>9.010611499282311</v>
      </c>
      <c r="N57" s="189">
        <f>SQRT((N10*"1.496E11"*4/9.81/$F$52))/60/60/24</f>
        <v>8.87090759765232</v>
      </c>
      <c r="O57" s="189">
        <f>SQRT((O10*"1.496E11"*4/9.81/$F$52))/60/60/24</f>
        <v>8.83425755668701</v>
      </c>
      <c r="P57" s="189">
        <f>SQRT((P10*"1.496E11"*4/9.81/$F$52))/60/60/24</f>
        <v>8.93335895236291</v>
      </c>
      <c r="Q57" s="189">
        <f>SQRT((Q10*"1.496E11"*4/9.81/$F$52))/60/60/24</f>
        <v>8.503194725389241</v>
      </c>
      <c r="R57" s="189">
        <f>SQRT((R10*"1.496E11"*4/9.81/$F$52))/60/60/24</f>
        <v>9.362406508824479</v>
      </c>
      <c r="S57" s="189">
        <f>SQRT((S10*"1.496E11"*4/9.81/$F$52))/60/60/24</f>
        <v>8.2503936290233</v>
      </c>
      <c r="T57" s="189">
        <f>SQRT((T10*"1.496E11"*4/9.81/$F$52))/60/60/24</f>
        <v>12.2162638395426</v>
      </c>
      <c r="U57" s="189">
        <f>SQRT((U10*"1.496E11"*4/9.81/$F$52))/60/60/24</f>
        <v>15.7084940258444</v>
      </c>
      <c r="V57" s="189">
        <f>SQRT((V10*"1.496E11"*4/9.81/$F$52))/60/60/24</f>
        <v>23.1356077519129</v>
      </c>
      <c r="W57" s="189">
        <f>SQRT((W10*"1.496E11"*4/9.81/$F$52))/60/60/24</f>
        <v>28.3750815653349</v>
      </c>
      <c r="X57" s="190">
        <f>SQRT((X10*"1.496E11"*4/9.81/$F$52))/60/60/24</f>
        <v>36.458655625556</v>
      </c>
    </row>
    <row r="58" ht="19" customHeight="1">
      <c r="A58" t="s" s="137">
        <v>91</v>
      </c>
      <c r="B58" s="197"/>
      <c r="C58" s="197"/>
      <c r="D58" s="197"/>
      <c r="E58" s="197"/>
      <c r="F58" s="189">
        <f>SQRT((F11*"1.496E11"*4/9.81/$F$52))/60/60/24</f>
        <v>4.4532105768859</v>
      </c>
      <c r="G58" s="189">
        <f>SQRT((G11*"1.496E11"*4/9.81/$F$52))/60/60/24</f>
        <v>4.21264714729536</v>
      </c>
      <c r="H58" s="189">
        <f>SQRT((H11*"1.496E11"*4/9.81/$F$52))/60/60/24</f>
        <v>0</v>
      </c>
      <c r="I58" s="189">
        <f>SQRT((I11*"1.496E11"*4/9.81/$F$52))/60/60/24</f>
        <v>3.82729518563093</v>
      </c>
      <c r="J58" s="189">
        <f>SQRT((J11*"1.496E11"*4/9.81/$F$52))/60/60/24</f>
        <v>3.83121870567706</v>
      </c>
      <c r="K58" s="189">
        <f>SQRT((K11*"1.496E11"*4/9.81/$F$52))/60/60/24</f>
        <v>4.27687174613163</v>
      </c>
      <c r="L58" s="189">
        <f>SQRT((L11*"1.496E11"*4/9.81/$F$52))/60/60/24</f>
        <v>8.82153816077907</v>
      </c>
      <c r="M58" s="189">
        <f>SQRT((M11*"1.496E11"*4/9.81/$F$52))/60/60/24</f>
        <v>9.91593193415383</v>
      </c>
      <c r="N58" s="189">
        <f>SQRT((N11*"1.496E11"*4/9.81/$F$52))/60/60/24</f>
        <v>7.81220310830786</v>
      </c>
      <c r="O58" s="189">
        <f>SQRT((O11*"1.496E11"*4/9.81/$F$52))/60/60/24</f>
        <v>8.82800057996926</v>
      </c>
      <c r="P58" s="189">
        <f>SQRT((P11*"1.496E11"*4/9.81/$F$52))/60/60/24</f>
        <v>9.447020350088181</v>
      </c>
      <c r="Q58" s="189">
        <f>SQRT((Q11*"1.496E11"*4/9.81/$F$52))/60/60/24</f>
        <v>8.98154795406233</v>
      </c>
      <c r="R58" s="189">
        <f>SQRT((R11*"1.496E11"*4/9.81/$F$52))/60/60/24</f>
        <v>9.640688498344661</v>
      </c>
      <c r="S58" s="189">
        <f>SQRT((S11*"1.496E11"*4/9.81/$F$52))/60/60/24</f>
        <v>9.06827585257775</v>
      </c>
      <c r="T58" s="189">
        <f>SQRT((T11*"1.496E11"*4/9.81/$F$52))/60/60/24</f>
        <v>11.5684387817959</v>
      </c>
      <c r="U58" s="189">
        <f>SQRT((U11*"1.496E11"*4/9.81/$F$52))/60/60/24</f>
        <v>15.8703483600842</v>
      </c>
      <c r="V58" s="189">
        <f>SQRT((V11*"1.496E11"*4/9.81/$F$52))/60/60/24</f>
        <v>23.1833263697716</v>
      </c>
      <c r="W58" s="189">
        <f>SQRT((W11*"1.496E11"*4/9.81/$F$52))/60/60/24</f>
        <v>28.3017316415887</v>
      </c>
      <c r="X58" s="190">
        <f>SQRT((X11*"1.496E11"*4/9.81/$F$52))/60/60/24</f>
        <v>36.5734059365523</v>
      </c>
    </row>
    <row r="59" ht="19" customHeight="1">
      <c r="A59" t="s" s="137">
        <v>49</v>
      </c>
      <c r="B59" s="197"/>
      <c r="C59" s="197"/>
      <c r="D59" s="197"/>
      <c r="E59" s="197"/>
      <c r="F59" s="189">
        <f>SQRT((F12*"1.496E11"*4/9.81/$F$52))/60/60/24</f>
        <v>5.26131662660345</v>
      </c>
      <c r="G59" s="189">
        <f>SQRT((G12*"1.496E11"*4/9.81/$F$52))/60/60/24</f>
        <v>5.46547001197577</v>
      </c>
      <c r="H59" s="189">
        <f>SQRT((H12*"1.496E11"*4/9.81/$F$52))/60/60/24</f>
        <v>3.82729518563093</v>
      </c>
      <c r="I59" s="189">
        <f>SQRT((I12*"1.496E11"*4/9.81/$F$52))/60/60/24</f>
        <v>0</v>
      </c>
      <c r="J59" s="189">
        <f>SQRT((J12*"1.496E11"*4/9.81/$F$52))/60/60/24</f>
        <v>0.271552329151606</v>
      </c>
      <c r="K59" s="189">
        <f>SQRT((K12*"1.496E11"*4/9.81/$F$52))/60/60/24</f>
        <v>4.54935025884601</v>
      </c>
      <c r="L59" s="189">
        <f>SQRT((L12*"1.496E11"*4/9.81/$F$52))/60/60/24</f>
        <v>8.017073551013141</v>
      </c>
      <c r="M59" s="189">
        <f>SQRT((M12*"1.496E11"*4/9.81/$F$52))/60/60/24</f>
        <v>10.3240529781697</v>
      </c>
      <c r="N59" s="189">
        <f>SQRT((N12*"1.496E11"*4/9.81/$F$52))/60/60/24</f>
        <v>7.25997972490675</v>
      </c>
      <c r="O59" s="189">
        <f>SQRT((O12*"1.496E11"*4/9.81/$F$52))/60/60/24</f>
        <v>8.34921228175417</v>
      </c>
      <c r="P59" s="189">
        <f>SQRT((P12*"1.496E11"*4/9.81/$F$52))/60/60/24</f>
        <v>9.39727382065116</v>
      </c>
      <c r="Q59" s="189">
        <f>SQRT((Q12*"1.496E11"*4/9.81/$F$52))/60/60/24</f>
        <v>8.885868112004539</v>
      </c>
      <c r="R59" s="189">
        <f>SQRT((R12*"1.496E11"*4/9.81/$F$52))/60/60/24</f>
        <v>9.395569653603429</v>
      </c>
      <c r="S59" s="189">
        <f>SQRT((S12*"1.496E11"*4/9.81/$F$52))/60/60/24</f>
        <v>9.292241411283481</v>
      </c>
      <c r="T59" s="189">
        <f>SQRT((T12*"1.496E11"*4/9.81/$F$52))/60/60/24</f>
        <v>10.940147983051</v>
      </c>
      <c r="U59" s="189">
        <f>SQRT((U12*"1.496E11"*4/9.81/$F$52))/60/60/24</f>
        <v>16.2833065018573</v>
      </c>
      <c r="V59" s="189">
        <f>SQRT((V12*"1.496E11"*4/9.81/$F$52))/60/60/24</f>
        <v>23.4377262953785</v>
      </c>
      <c r="W59" s="189">
        <f>SQRT((W12*"1.496E11"*4/9.81/$F$52))/60/60/24</f>
        <v>28.4427725907725</v>
      </c>
      <c r="X59" s="190">
        <f>SQRT((X12*"1.496E11"*4/9.81/$F$52))/60/60/24</f>
        <v>36.7621366442042</v>
      </c>
    </row>
    <row r="60" ht="19" customHeight="1">
      <c r="A60" t="s" s="137">
        <v>117</v>
      </c>
      <c r="B60" s="197"/>
      <c r="C60" s="197"/>
      <c r="D60" s="197"/>
      <c r="E60" s="197"/>
      <c r="F60" s="189">
        <f>SQRT((F13*"1.496E11"*4/9.81/$F$52))/60/60/24</f>
        <v>5.25898318443543</v>
      </c>
      <c r="G60" s="189">
        <f>SQRT((G13*"1.496E11"*4/9.81/$F$52))/60/60/24</f>
        <v>5.46534006426542</v>
      </c>
      <c r="H60" s="189">
        <f>SQRT((H13*"1.496E11"*4/9.81/$F$52))/60/60/24</f>
        <v>3.83121870567706</v>
      </c>
      <c r="I60" s="189">
        <f>SQRT((I13*"1.496E11"*4/9.81/$F$52))/60/60/24</f>
        <v>0.271552329151606</v>
      </c>
      <c r="J60" s="189">
        <f>SQRT((J13*"1.496E11"*4/9.81/$F$52))/60/60/24</f>
        <v>0</v>
      </c>
      <c r="K60" s="189">
        <f>SQRT((K13*"1.496E11"*4/9.81/$F$52))/60/60/24</f>
        <v>4.55738459717698</v>
      </c>
      <c r="L60" s="189">
        <f>SQRT((L13*"1.496E11"*4/9.81/$F$52))/60/60/24</f>
        <v>8.01365823942969</v>
      </c>
      <c r="M60" s="189">
        <f>SQRT((M13*"1.496E11"*4/9.81/$F$52))/60/60/24</f>
        <v>10.322384203006</v>
      </c>
      <c r="N60" s="189">
        <f>SQRT((N13*"1.496E11"*4/9.81/$F$52))/60/60/24</f>
        <v>7.26300051314751</v>
      </c>
      <c r="O60" s="189">
        <f>SQRT((O13*"1.496E11"*4/9.81/$F$52))/60/60/24</f>
        <v>8.344993254244679</v>
      </c>
      <c r="P60" s="189">
        <f>SQRT((P13*"1.496E11"*4/9.81/$F$52))/60/60/24</f>
        <v>9.39371713840691</v>
      </c>
      <c r="Q60" s="189">
        <f>SQRT((Q13*"1.496E11"*4/9.81/$F$52))/60/60/24</f>
        <v>8.882055383776359</v>
      </c>
      <c r="R60" s="189">
        <f>SQRT((R13*"1.496E11"*4/9.81/$F$52))/60/60/24</f>
        <v>9.3917018912357</v>
      </c>
      <c r="S60" s="189">
        <f>SQRT((S13*"1.496E11"*4/9.81/$F$52))/60/60/24</f>
        <v>9.289433520906099</v>
      </c>
      <c r="T60" s="189">
        <f>SQRT((T13*"1.496E11"*4/9.81/$F$52))/60/60/24</f>
        <v>10.9396689905862</v>
      </c>
      <c r="U60" s="189">
        <f>SQRT((U13*"1.496E11"*4/9.81/$F$52))/60/60/24</f>
        <v>16.2849949094188</v>
      </c>
      <c r="V60" s="189">
        <f>SQRT((V13*"1.496E11"*4/9.81/$F$52))/60/60/24</f>
        <v>23.4390794621565</v>
      </c>
      <c r="W60" s="189">
        <f>SQRT((W13*"1.496E11"*4/9.81/$F$52))/60/60/24</f>
        <v>28.4440505539909</v>
      </c>
      <c r="X60" s="190">
        <f>SQRT((X13*"1.496E11"*4/9.81/$F$52))/60/60/24</f>
        <v>36.7627325001849</v>
      </c>
    </row>
    <row r="61" ht="19" customHeight="1">
      <c r="A61" t="s" s="137">
        <v>93</v>
      </c>
      <c r="B61" s="197"/>
      <c r="C61" s="197"/>
      <c r="D61" s="197"/>
      <c r="E61" s="197"/>
      <c r="F61" s="189">
        <f>SQRT((F14*"1.496E11"*4/9.81/$F$52))/60/60/24</f>
        <v>6.17305850243667</v>
      </c>
      <c r="G61" s="189">
        <f>SQRT((G14*"1.496E11"*4/9.81/$F$52))/60/60/24</f>
        <v>5.89098048589622</v>
      </c>
      <c r="H61" s="189">
        <f>SQRT((H14*"1.496E11"*4/9.81/$F$52))/60/60/24</f>
        <v>4.27687174613163</v>
      </c>
      <c r="I61" s="189">
        <f>SQRT((I14*"1.496E11"*4/9.81/$F$52))/60/60/24</f>
        <v>4.54935025884601</v>
      </c>
      <c r="J61" s="189">
        <f>SQRT((J14*"1.496E11"*4/9.81/$F$52))/60/60/24</f>
        <v>4.55738459717698</v>
      </c>
      <c r="K61" s="189">
        <f>SQRT((K14*"1.496E11"*4/9.81/$F$52))/60/60/24</f>
        <v>0</v>
      </c>
      <c r="L61" s="189">
        <f>SQRT((L14*"1.496E11"*4/9.81/$F$52))/60/60/24</f>
        <v>9.052443217708401</v>
      </c>
      <c r="M61" s="189">
        <f>SQRT((M14*"1.496E11"*4/9.81/$F$52))/60/60/24</f>
        <v>10.7612535005134</v>
      </c>
      <c r="N61" s="189">
        <f>SQRT((N14*"1.496E11"*4/9.81/$F$52))/60/60/24</f>
        <v>6.76919714338878</v>
      </c>
      <c r="O61" s="189">
        <f>SQRT((O14*"1.496E11"*4/9.81/$F$52))/60/60/24</f>
        <v>9.48557050775338</v>
      </c>
      <c r="P61" s="189">
        <f>SQRT((P14*"1.496E11"*4/9.81/$F$52))/60/60/24</f>
        <v>10.3178088902165</v>
      </c>
      <c r="Q61" s="189">
        <f>SQRT((Q14*"1.496E11"*4/9.81/$F$52))/60/60/24</f>
        <v>9.87614629815941</v>
      </c>
      <c r="R61" s="189">
        <f>SQRT((R14*"1.496E11"*4/9.81/$F$52))/60/60/24</f>
        <v>10.4049343486593</v>
      </c>
      <c r="S61" s="189">
        <f>SQRT((S14*"1.496E11"*4/9.81/$F$52))/60/60/24</f>
        <v>10.0247759781228</v>
      </c>
      <c r="T61" s="189">
        <f>SQRT((T14*"1.496E11"*4/9.81/$F$52))/60/60/24</f>
        <v>11.2487617520921</v>
      </c>
      <c r="U61" s="189">
        <f>SQRT((U14*"1.496E11"*4/9.81/$F$52))/60/60/24</f>
        <v>15.7645909164736</v>
      </c>
      <c r="V61" s="189">
        <f>SQRT((V14*"1.496E11"*4/9.81/$F$52))/60/60/24</f>
        <v>23.0332469369011</v>
      </c>
      <c r="W61" s="189">
        <f>SQRT((W14*"1.496E11"*4/9.81/$F$52))/60/60/24</f>
        <v>28.0774125492708</v>
      </c>
      <c r="X61" s="190">
        <f>SQRT((X14*"1.496E11"*4/9.81/$F$52))/60/60/24</f>
        <v>36.568686028176</v>
      </c>
    </row>
    <row r="62" ht="19" customHeight="1">
      <c r="A62" t="s" s="137">
        <v>95</v>
      </c>
      <c r="B62" s="197"/>
      <c r="C62" s="197"/>
      <c r="D62" s="197"/>
      <c r="E62" s="197"/>
      <c r="F62" s="189">
        <f>SQRT((F15*"1.496E11"*4/9.81/$F$52))/60/60/24</f>
        <v>8.89332487264541</v>
      </c>
      <c r="G62" s="189">
        <f>SQRT((G15*"1.496E11"*4/9.81/$F$52))/60/60/24</f>
        <v>9.31398857856782</v>
      </c>
      <c r="H62" s="189">
        <f>SQRT((H15*"1.496E11"*4/9.81/$F$52))/60/60/24</f>
        <v>8.82153816077907</v>
      </c>
      <c r="I62" s="189">
        <f>SQRT((I15*"1.496E11"*4/9.81/$F$52))/60/60/24</f>
        <v>8.017073551013141</v>
      </c>
      <c r="J62" s="189">
        <f>SQRT((J15*"1.496E11"*4/9.81/$F$52))/60/60/24</f>
        <v>8.01365823942969</v>
      </c>
      <c r="K62" s="189">
        <f>SQRT((K15*"1.496E11"*4/9.81/$F$52))/60/60/24</f>
        <v>9.052443217708401</v>
      </c>
      <c r="L62" s="189">
        <f>SQRT((L15*"1.496E11"*4/9.81/$F$52))/60/60/24</f>
        <v>0</v>
      </c>
      <c r="M62" s="189">
        <f>SQRT((M15*"1.496E11"*4/9.81/$F$52))/60/60/24</f>
        <v>11.7163258365928</v>
      </c>
      <c r="N62" s="189">
        <f>SQRT((N15*"1.496E11"*4/9.81/$F$52))/60/60/24</f>
        <v>8.89966776156017</v>
      </c>
      <c r="O62" s="189">
        <f>SQRT((O15*"1.496E11"*4/9.81/$F$52))/60/60/24</f>
        <v>6.82972229443022</v>
      </c>
      <c r="P62" s="189">
        <f>SQRT((P15*"1.496E11"*4/9.81/$F$52))/60/60/24</f>
        <v>9.29440659341388</v>
      </c>
      <c r="Q62" s="189">
        <f>SQRT((Q15*"1.496E11"*4/9.81/$F$52))/60/60/24</f>
        <v>8.83504293370871</v>
      </c>
      <c r="R62" s="189">
        <f>SQRT((R15*"1.496E11"*4/9.81/$F$52))/60/60/24</f>
        <v>8.365024981350119</v>
      </c>
      <c r="S62" s="189">
        <f>SQRT((S15*"1.496E11"*4/9.81/$F$52))/60/60/24</f>
        <v>10.2307959251841</v>
      </c>
      <c r="T62" s="189">
        <f>SQRT((T15*"1.496E11"*4/9.81/$F$52))/60/60/24</f>
        <v>9.03355337902021</v>
      </c>
      <c r="U62" s="189">
        <f>SQRT((U15*"1.496E11"*4/9.81/$F$52))/60/60/24</f>
        <v>18.1453851249498</v>
      </c>
      <c r="V62" s="189">
        <f>SQRT((V15*"1.496E11"*4/9.81/$F$52))/60/60/24</f>
        <v>24.7469927004521</v>
      </c>
      <c r="W62" s="189">
        <f>SQRT((W15*"1.496E11"*4/9.81/$F$52))/60/60/24</f>
        <v>29.3917144947181</v>
      </c>
      <c r="X62" s="190">
        <f>SQRT((X15*"1.496E11"*4/9.81/$F$52))/60/60/24</f>
        <v>37.5719603439373</v>
      </c>
    </row>
    <row r="63" ht="19" customHeight="1">
      <c r="A63" t="s" s="137">
        <v>96</v>
      </c>
      <c r="B63" s="197"/>
      <c r="C63" s="197"/>
      <c r="D63" s="197"/>
      <c r="E63" s="197"/>
      <c r="F63" s="189">
        <f>SQRT((F16*"1.496E11"*4/9.81/$F$52))/60/60/24</f>
        <v>8.91020920292323</v>
      </c>
      <c r="G63" s="189">
        <f>SQRT((G16*"1.496E11"*4/9.81/$F$52))/60/60/24</f>
        <v>9.010611499282311</v>
      </c>
      <c r="H63" s="189">
        <f>SQRT((H16*"1.496E11"*4/9.81/$F$52))/60/60/24</f>
        <v>9.91593193415383</v>
      </c>
      <c r="I63" s="189">
        <f>SQRT((I16*"1.496E11"*4/9.81/$F$52))/60/60/24</f>
        <v>10.3240529781697</v>
      </c>
      <c r="J63" s="189">
        <f>SQRT((J16*"1.496E11"*4/9.81/$F$52))/60/60/24</f>
        <v>10.322384203006</v>
      </c>
      <c r="K63" s="189">
        <f>SQRT((K16*"1.496E11"*4/9.81/$F$52))/60/60/24</f>
        <v>10.7612535005134</v>
      </c>
      <c r="L63" s="189">
        <f>SQRT((L16*"1.496E11"*4/9.81/$F$52))/60/60/24</f>
        <v>11.7163258365928</v>
      </c>
      <c r="M63" s="189">
        <f>SQRT((M16*"1.496E11"*4/9.81/$F$52))/60/60/24</f>
        <v>0</v>
      </c>
      <c r="N63" s="189">
        <f>SQRT((N16*"1.496E11"*4/9.81/$F$52))/60/60/24</f>
        <v>12.6009386983556</v>
      </c>
      <c r="O63" s="189">
        <f>SQRT((O16*"1.496E11"*4/9.81/$F$52))/60/60/24</f>
        <v>10.1325832162816</v>
      </c>
      <c r="P63" s="189">
        <f>SQRT((P16*"1.496E11"*4/9.81/$F$52))/60/60/24</f>
        <v>8.071015848268679</v>
      </c>
      <c r="Q63" s="189">
        <f>SQRT((Q16*"1.496E11"*4/9.81/$F$52))/60/60/24</f>
        <v>8.21122179567309</v>
      </c>
      <c r="R63" s="189">
        <f>SQRT((R16*"1.496E11"*4/9.81/$F$52))/60/60/24</f>
        <v>9.3650110761278</v>
      </c>
      <c r="S63" s="189">
        <f>SQRT((S16*"1.496E11"*4/9.81/$F$52))/60/60/24</f>
        <v>6.06419098822439</v>
      </c>
      <c r="T63" s="189">
        <f>SQRT((T16*"1.496E11"*4/9.81/$F$52))/60/60/24</f>
        <v>14.6631724508012</v>
      </c>
      <c r="U63" s="189">
        <f>SQRT((U16*"1.496E11"*4/9.81/$F$52))/60/60/24</f>
        <v>16.1695198345516</v>
      </c>
      <c r="V63" s="189">
        <f>SQRT((V16*"1.496E11"*4/9.81/$F$52))/60/60/24</f>
        <v>23.5507193827613</v>
      </c>
      <c r="W63" s="189">
        <f>SQRT((W16*"1.496E11"*4/9.81/$F$52))/60/60/24</f>
        <v>29.1306670665654</v>
      </c>
      <c r="X63" s="190">
        <f>SQRT((X16*"1.496E11"*4/9.81/$F$52))/60/60/24</f>
        <v>36.2749473519857</v>
      </c>
    </row>
    <row r="64" ht="19" customHeight="1">
      <c r="A64" t="s" s="137">
        <v>94</v>
      </c>
      <c r="B64" s="197"/>
      <c r="C64" s="197"/>
      <c r="D64" s="197"/>
      <c r="E64" s="197"/>
      <c r="F64" s="189">
        <f>SQRT((F17*"1.496E11"*4/9.81/$F$52))/60/60/24</f>
        <v>8.91020920292323</v>
      </c>
      <c r="G64" s="189">
        <f>SQRT((G17*"1.496E11"*4/9.81/$F$52))/60/60/24</f>
        <v>8.87090759765232</v>
      </c>
      <c r="H64" s="189">
        <f>SQRT((H17*"1.496E11"*4/9.81/$F$52))/60/60/24</f>
        <v>7.81220310830786</v>
      </c>
      <c r="I64" s="189">
        <f>SQRT((I17*"1.496E11"*4/9.81/$F$52))/60/60/24</f>
        <v>7.25997972490675</v>
      </c>
      <c r="J64" s="189">
        <f>SQRT((J17*"1.496E11"*4/9.81/$F$52))/60/60/24</f>
        <v>7.26300051314751</v>
      </c>
      <c r="K64" s="189">
        <f>SQRT((K17*"1.496E11"*4/9.81/$F$52))/60/60/24</f>
        <v>6.76919714338878</v>
      </c>
      <c r="L64" s="189">
        <f>SQRT((L17*"1.496E11"*4/9.81/$F$52))/60/60/24</f>
        <v>8.89966776156017</v>
      </c>
      <c r="M64" s="189">
        <f>SQRT((M17*"1.496E11"*4/9.81/$F$52))/60/60/24</f>
        <v>12.6009386983556</v>
      </c>
      <c r="N64" s="189">
        <f>SQRT((N17*"1.496E11"*4/9.81/$F$52))/60/60/24</f>
        <v>0</v>
      </c>
      <c r="O64" s="189">
        <f>SQRT((O17*"1.496E11"*4/9.81/$F$52))/60/60/24</f>
        <v>10.3649793395382</v>
      </c>
      <c r="P64" s="189">
        <f>SQRT((P17*"1.496E11"*4/9.81/$F$52))/60/60/24</f>
        <v>11.6864023673994</v>
      </c>
      <c r="Q64" s="189">
        <f>SQRT((Q17*"1.496E11"*4/9.81/$F$52))/60/60/24</f>
        <v>11.2815946748013</v>
      </c>
      <c r="R64" s="189">
        <f>SQRT((R17*"1.496E11"*4/9.81/$F$52))/60/60/24</f>
        <v>11.4608212624939</v>
      </c>
      <c r="S64" s="189">
        <f>SQRT((S17*"1.496E11"*4/9.81/$F$52))/60/60/24</f>
        <v>11.7537680940108</v>
      </c>
      <c r="T64" s="189">
        <f>SQRT((T17*"1.496E11"*4/9.81/$F$52))/60/60/24</f>
        <v>9.542662660313029</v>
      </c>
      <c r="U64" s="189">
        <f>SQRT((U17*"1.496E11"*4/9.81/$F$52))/60/60/24</f>
        <v>16.564584216190</v>
      </c>
      <c r="V64" s="189">
        <f>SQRT((V17*"1.496E11"*4/9.81/$F$52))/60/60/24</f>
        <v>23.369891936420</v>
      </c>
      <c r="W64" s="189">
        <f>SQRT((W17*"1.496E11"*4/9.81/$F$52))/60/60/24</f>
        <v>28.042232067532</v>
      </c>
      <c r="X64" s="190">
        <f>SQRT((X17*"1.496E11"*4/9.81/$F$52))/60/60/24</f>
        <v>36.9234197869104</v>
      </c>
    </row>
    <row r="65" ht="19" customHeight="1">
      <c r="A65" t="s" s="137">
        <v>120</v>
      </c>
      <c r="B65" s="197"/>
      <c r="C65" s="197"/>
      <c r="D65" s="197"/>
      <c r="E65" s="197"/>
      <c r="F65" s="189">
        <f>SQRT((F18*"1.496E11"*4/9.81/$F$52))/60/60/24</f>
        <v>8.29671673275949</v>
      </c>
      <c r="G65" s="189">
        <f>SQRT((G18*"1.496E11"*4/9.81/$F$52))/60/60/24</f>
        <v>8.83425755668701</v>
      </c>
      <c r="H65" s="189">
        <f>SQRT((H18*"1.496E11"*4/9.81/$F$52))/60/60/24</f>
        <v>8.82800057996926</v>
      </c>
      <c r="I65" s="189">
        <f>SQRT((I18*"1.496E11"*4/9.81/$F$52))/60/60/24</f>
        <v>8.34921228175417</v>
      </c>
      <c r="J65" s="189">
        <f>SQRT((J18*"1.496E11"*4/9.81/$F$52))/60/60/24</f>
        <v>8.344993254244679</v>
      </c>
      <c r="K65" s="189">
        <f>SQRT((K18*"1.496E11"*4/9.81/$F$52))/60/60/24</f>
        <v>9.48557050775338</v>
      </c>
      <c r="L65" s="189">
        <f>SQRT((L18*"1.496E11"*4/9.81/$F$52))/60/60/24</f>
        <v>6.82972229443022</v>
      </c>
      <c r="M65" s="189">
        <f>SQRT((M18*"1.496E11"*4/9.81/$F$52))/60/60/24</f>
        <v>10.1325832162816</v>
      </c>
      <c r="N65" s="189">
        <f>SQRT((N18*"1.496E11"*4/9.81/$F$52))/60/60/24</f>
        <v>10.3649793395382</v>
      </c>
      <c r="O65" s="189">
        <f>SQRT((O18*"1.496E11"*4/9.81/$F$52))/60/60/24</f>
        <v>0</v>
      </c>
      <c r="P65" s="189">
        <f>SQRT((P18*"1.496E11"*4/9.81/$F$52))/60/60/24</f>
        <v>7.14836459486521</v>
      </c>
      <c r="Q65" s="189">
        <f>SQRT((Q18*"1.496E11"*4/9.81/$F$52))/60/60/24</f>
        <v>6.30073804798351</v>
      </c>
      <c r="R65" s="189">
        <f>SQRT((R18*"1.496E11"*4/9.81/$F$52))/60/60/24</f>
        <v>6.02325686835681</v>
      </c>
      <c r="S65" s="189">
        <f>SQRT((S18*"1.496E11"*4/9.81/$F$52))/60/60/24</f>
        <v>8.46846220783187</v>
      </c>
      <c r="T65" s="189">
        <f>SQRT((T18*"1.496E11"*4/9.81/$F$52))/60/60/24</f>
        <v>11.1234776514838</v>
      </c>
      <c r="U65" s="189">
        <f>SQRT((U18*"1.496E11"*4/9.81/$F$52))/60/60/24</f>
        <v>17.9663482308057</v>
      </c>
      <c r="V65" s="189">
        <f>SQRT((V18*"1.496E11"*4/9.81/$F$52))/60/60/24</f>
        <v>24.7189918638736</v>
      </c>
      <c r="W65" s="189">
        <f>SQRT((W18*"1.496E11"*4/9.81/$F$52))/60/60/24</f>
        <v>29.601105998434</v>
      </c>
      <c r="X65" s="190">
        <f>SQRT((X18*"1.496E11"*4/9.81/$F$52))/60/60/24</f>
        <v>37.4467938483768</v>
      </c>
    </row>
    <row r="66" ht="19" customHeight="1">
      <c r="A66" t="s" s="137">
        <v>121</v>
      </c>
      <c r="B66" s="197"/>
      <c r="C66" s="197"/>
      <c r="D66" s="197"/>
      <c r="E66" s="197"/>
      <c r="F66" s="189">
        <f>SQRT((F19*"1.496E11"*4/9.81/$F$52))/60/60/24</f>
        <v>8.46910740405186</v>
      </c>
      <c r="G66" s="189">
        <f>SQRT((G19*"1.496E11"*4/9.81/$F$52))/60/60/24</f>
        <v>8.93335895236291</v>
      </c>
      <c r="H66" s="189">
        <f>SQRT((H19*"1.496E11"*4/9.81/$F$52))/60/60/24</f>
        <v>9.447020350088181</v>
      </c>
      <c r="I66" s="189">
        <f>SQRT((I19*"1.496E11"*4/9.81/$F$52))/60/60/24</f>
        <v>9.39727382065116</v>
      </c>
      <c r="J66" s="189">
        <f>SQRT((J19*"1.496E11"*4/9.81/$F$52))/60/60/24</f>
        <v>9.39371713840691</v>
      </c>
      <c r="K66" s="189">
        <f>SQRT((K19*"1.496E11"*4/9.81/$F$52))/60/60/24</f>
        <v>10.3178088902165</v>
      </c>
      <c r="L66" s="189">
        <f>SQRT((L19*"1.496E11"*4/9.81/$F$52))/60/60/24</f>
        <v>9.29440659341388</v>
      </c>
      <c r="M66" s="189">
        <f>SQRT((M19*"1.496E11"*4/9.81/$F$52))/60/60/24</f>
        <v>8.071015848268679</v>
      </c>
      <c r="N66" s="189">
        <f>SQRT((N19*"1.496E11"*4/9.81/$F$52))/60/60/24</f>
        <v>11.6864023673994</v>
      </c>
      <c r="O66" s="189">
        <f>SQRT((O19*"1.496E11"*4/9.81/$F$52))/60/60/24</f>
        <v>7.14836459486521</v>
      </c>
      <c r="P66" s="189">
        <f>SQRT((P19*"1.496E11"*4/9.81/$F$52))/60/60/24</f>
        <v>0</v>
      </c>
      <c r="Q66" s="189">
        <f>SQRT((Q19*"1.496E11"*4/9.81/$F$52))/60/60/24</f>
        <v>3.74356807484608</v>
      </c>
      <c r="R66" s="189">
        <f>SQRT((R19*"1.496E11"*4/9.81/$F$52))/60/60/24</f>
        <v>4.83122900977845</v>
      </c>
      <c r="S66" s="189">
        <f>SQRT((S19*"1.496E11"*4/9.81/$F$52))/60/60/24</f>
        <v>5.50810732656224</v>
      </c>
      <c r="T66" s="189">
        <f>SQRT((T19*"1.496E11"*4/9.81/$F$52))/60/60/24</f>
        <v>12.9596066228639</v>
      </c>
      <c r="U66" s="189">
        <f>SQRT((U19*"1.496E11"*4/9.81/$F$52))/60/60/24</f>
        <v>17.6285575043312</v>
      </c>
      <c r="V66" s="189">
        <f>SQRT((V19*"1.496E11"*4/9.81/$F$52))/60/60/24</f>
        <v>24.568740216420</v>
      </c>
      <c r="W66" s="189">
        <f>SQRT((W19*"1.496E11"*4/9.81/$F$52))/60/60/24</f>
        <v>29.716732935857</v>
      </c>
      <c r="X66" s="190">
        <f>SQRT((X19*"1.496E11"*4/9.81/$F$52))/60/60/24</f>
        <v>37.0512112119906</v>
      </c>
    </row>
    <row r="67" ht="19" customHeight="1">
      <c r="A67" t="s" s="137">
        <v>122</v>
      </c>
      <c r="B67" s="197"/>
      <c r="C67" s="197"/>
      <c r="D67" s="197"/>
      <c r="E67" s="197"/>
      <c r="F67" s="189">
        <f>SQRT((F20*"1.496E11"*4/9.81/$F$52))/60/60/24</f>
        <v>7.9869457401183</v>
      </c>
      <c r="G67" s="189">
        <f>SQRT((G20*"1.496E11"*4/9.81/$F$52))/60/60/24</f>
        <v>8.503194725389241</v>
      </c>
      <c r="H67" s="189">
        <f>SQRT((H20*"1.496E11"*4/9.81/$F$52))/60/60/24</f>
        <v>8.98154795406233</v>
      </c>
      <c r="I67" s="189">
        <f>SQRT((I20*"1.496E11"*4/9.81/$F$52))/60/60/24</f>
        <v>8.885868112004539</v>
      </c>
      <c r="J67" s="189">
        <f>SQRT((J20*"1.496E11"*4/9.81/$F$52))/60/60/24</f>
        <v>8.882055383776359</v>
      </c>
      <c r="K67" s="189">
        <f>SQRT((K20*"1.496E11"*4/9.81/$F$52))/60/60/24</f>
        <v>9.87614629815941</v>
      </c>
      <c r="L67" s="189">
        <f>SQRT((L20*"1.496E11"*4/9.81/$F$52))/60/60/24</f>
        <v>8.83504293370871</v>
      </c>
      <c r="M67" s="189">
        <f>SQRT((M20*"1.496E11"*4/9.81/$F$52))/60/60/24</f>
        <v>8.21122179567309</v>
      </c>
      <c r="N67" s="189">
        <f>SQRT((N20*"1.496E11"*4/9.81/$F$52))/60/60/24</f>
        <v>11.2815946748013</v>
      </c>
      <c r="O67" s="189">
        <f>SQRT((O20*"1.496E11"*4/9.81/$F$52))/60/60/24</f>
        <v>6.30073804798351</v>
      </c>
      <c r="P67" s="189">
        <f>SQRT((P20*"1.496E11"*4/9.81/$F$52))/60/60/24</f>
        <v>3.74356807484608</v>
      </c>
      <c r="Q67" s="189">
        <f>SQRT((Q20*"1.496E11"*4/9.81/$F$52))/60/60/24</f>
        <v>0</v>
      </c>
      <c r="R67" s="189">
        <f>SQRT((R20*"1.496E11"*4/9.81/$F$52))/60/60/24</f>
        <v>4.75668154163178</v>
      </c>
      <c r="S67" s="189">
        <f>SQRT((S20*"1.496E11"*4/9.81/$F$52))/60/60/24</f>
        <v>5.84995033386369</v>
      </c>
      <c r="T67" s="189">
        <f>SQRT((T20*"1.496E11"*4/9.81/$F$52))/60/60/24</f>
        <v>12.6105850643785</v>
      </c>
      <c r="U67" s="189">
        <f>SQRT((U20*"1.496E11"*4/9.81/$F$52))/60/60/24</f>
        <v>17.5376905409238</v>
      </c>
      <c r="V67" s="189">
        <f>SQRT((V20*"1.496E11"*4/9.81/$F$52))/60/60/24</f>
        <v>24.4867803352032</v>
      </c>
      <c r="W67" s="189">
        <f>SQRT((W20*"1.496E11"*4/9.81/$F$52))/60/60/24</f>
        <v>29.6066435082309</v>
      </c>
      <c r="X67" s="190">
        <f>SQRT((X20*"1.496E11"*4/9.81/$F$52))/60/60/24</f>
        <v>37.0875188521834</v>
      </c>
    </row>
    <row r="68" ht="19" customHeight="1">
      <c r="A68" t="s" s="137">
        <v>123</v>
      </c>
      <c r="B68" s="197"/>
      <c r="C68" s="197"/>
      <c r="D68" s="197"/>
      <c r="E68" s="197"/>
      <c r="F68" s="189">
        <f>SQRT((F21*"1.496E11"*4/9.81/$F$52))/60/60/24</f>
        <v>8.86257377046301</v>
      </c>
      <c r="G68" s="189">
        <f>SQRT((G21*"1.496E11"*4/9.81/$F$52))/60/60/24</f>
        <v>9.362406508824479</v>
      </c>
      <c r="H68" s="189">
        <f>SQRT((H21*"1.496E11"*4/9.81/$F$52))/60/60/24</f>
        <v>9.640688498344661</v>
      </c>
      <c r="I68" s="189">
        <f>SQRT((I21*"1.496E11"*4/9.81/$F$52))/60/60/24</f>
        <v>9.395569653603429</v>
      </c>
      <c r="J68" s="189">
        <f>SQRT((J21*"1.496E11"*4/9.81/$F$52))/60/60/24</f>
        <v>9.3917018912357</v>
      </c>
      <c r="K68" s="189">
        <f>SQRT((K21*"1.496E11"*4/9.81/$F$52))/60/60/24</f>
        <v>10.4049343486593</v>
      </c>
      <c r="L68" s="189">
        <f>SQRT((L21*"1.496E11"*4/9.81/$F$52))/60/60/24</f>
        <v>8.365024981350119</v>
      </c>
      <c r="M68" s="189">
        <f>SQRT((M21*"1.496E11"*4/9.81/$F$52))/60/60/24</f>
        <v>9.3650110761278</v>
      </c>
      <c r="N68" s="189">
        <f>SQRT((N21*"1.496E11"*4/9.81/$F$52))/60/60/24</f>
        <v>11.4608212624939</v>
      </c>
      <c r="O68" s="189">
        <f>SQRT((O21*"1.496E11"*4/9.81/$F$52))/60/60/24</f>
        <v>6.02325686835681</v>
      </c>
      <c r="P68" s="189">
        <f>SQRT((P21*"1.496E11"*4/9.81/$F$52))/60/60/24</f>
        <v>4.83122900977845</v>
      </c>
      <c r="Q68" s="189">
        <f>SQRT((Q21*"1.496E11"*4/9.81/$F$52))/60/60/24</f>
        <v>4.75668154163178</v>
      </c>
      <c r="R68" s="189">
        <f>SQRT((R21*"1.496E11"*4/9.81/$F$52))/60/60/24</f>
        <v>0</v>
      </c>
      <c r="S68" s="189">
        <f>SQRT((S21*"1.496E11"*4/9.81/$F$52))/60/60/24</f>
        <v>7.26392729813567</v>
      </c>
      <c r="T68" s="189">
        <f>SQRT((T21*"1.496E11"*4/9.81/$F$52))/60/60/24</f>
        <v>12.2745144698656</v>
      </c>
      <c r="U68" s="189">
        <f>SQRT((U21*"1.496E11"*4/9.81/$F$52))/60/60/24</f>
        <v>18.0940567423704</v>
      </c>
      <c r="V68" s="189">
        <f>SQRT((V21*"1.496E11"*4/9.81/$F$52))/60/60/24</f>
        <v>24.8831443037071</v>
      </c>
      <c r="W68" s="189">
        <f>SQRT((W21*"1.496E11"*4/9.81/$F$52))/60/60/24</f>
        <v>29.8784298882061</v>
      </c>
      <c r="X68" s="190">
        <f>SQRT((X21*"1.496E11"*4/9.81/$F$52))/60/60/24</f>
        <v>37.3322652404405</v>
      </c>
    </row>
    <row r="69" ht="19" customHeight="1">
      <c r="A69" t="s" s="137">
        <v>124</v>
      </c>
      <c r="B69" s="197"/>
      <c r="C69" s="197"/>
      <c r="D69" s="197"/>
      <c r="E69" s="197"/>
      <c r="F69" s="189">
        <f>SQRT((F22*"1.496E11"*4/9.81/$F$52))/60/60/24</f>
        <v>7.91060988579701</v>
      </c>
      <c r="G69" s="189">
        <f>SQRT((G22*"1.496E11"*4/9.81/$F$52))/60/60/24</f>
        <v>8.2503936290233</v>
      </c>
      <c r="H69" s="189">
        <f>SQRT((H22*"1.496E11"*4/9.81/$F$52))/60/60/24</f>
        <v>9.06827585257775</v>
      </c>
      <c r="I69" s="189">
        <f>SQRT((I22*"1.496E11"*4/9.81/$F$52))/60/60/24</f>
        <v>9.292241411283481</v>
      </c>
      <c r="J69" s="189">
        <f>SQRT((J22*"1.496E11"*4/9.81/$F$52))/60/60/24</f>
        <v>9.289433520906099</v>
      </c>
      <c r="K69" s="189">
        <f>SQRT((K22*"1.496E11"*4/9.81/$F$52))/60/60/24</f>
        <v>10.0247759781228</v>
      </c>
      <c r="L69" s="189">
        <f>SQRT((L22*"1.496E11"*4/9.81/$F$52))/60/60/24</f>
        <v>10.2307959251841</v>
      </c>
      <c r="M69" s="189">
        <f>SQRT((M22*"1.496E11"*4/9.81/$F$52))/60/60/24</f>
        <v>6.06419098822439</v>
      </c>
      <c r="N69" s="189">
        <f>SQRT((N22*"1.496E11"*4/9.81/$F$52))/60/60/24</f>
        <v>11.7537680940108</v>
      </c>
      <c r="O69" s="189">
        <f>SQRT((O22*"1.496E11"*4/9.81/$F$52))/60/60/24</f>
        <v>8.46846220783187</v>
      </c>
      <c r="P69" s="189">
        <f>SQRT((P22*"1.496E11"*4/9.81/$F$52))/60/60/24</f>
        <v>5.50810732656224</v>
      </c>
      <c r="Q69" s="189">
        <f>SQRT((Q22*"1.496E11"*4/9.81/$F$52))/60/60/24</f>
        <v>5.84995033386369</v>
      </c>
      <c r="R69" s="189">
        <f>SQRT((R22*"1.496E11"*4/9.81/$F$52))/60/60/24</f>
        <v>7.26392729813567</v>
      </c>
      <c r="S69" s="189">
        <f>SQRT((S22*"1.496E11"*4/9.81/$F$52))/60/60/24</f>
        <v>0</v>
      </c>
      <c r="T69" s="189">
        <f>SQRT((T22*"1.496E11"*4/9.81/$F$52))/60/60/24</f>
        <v>13.5914235619694</v>
      </c>
      <c r="U69" s="189">
        <f>SQRT((U22*"1.496E11"*4/9.81/$F$52))/60/60/24</f>
        <v>16.8373423232136</v>
      </c>
      <c r="V69" s="189">
        <f>SQRT((V22*"1.496E11"*4/9.81/$F$52))/60/60/24</f>
        <v>24.0194210226766</v>
      </c>
      <c r="W69" s="189">
        <f>SQRT((W22*"1.496E11"*4/9.81/$F$52))/60/60/24</f>
        <v>29.3581979711214</v>
      </c>
      <c r="X69" s="190">
        <f>SQRT((X22*"1.496E11"*4/9.81/$F$52))/60/60/24</f>
        <v>36.652269186459</v>
      </c>
    </row>
    <row r="70" ht="19" customHeight="1">
      <c r="A70" t="s" s="137">
        <v>97</v>
      </c>
      <c r="B70" s="197"/>
      <c r="C70" s="197"/>
      <c r="D70" s="197"/>
      <c r="E70" s="197"/>
      <c r="F70" s="189">
        <f>SQRT((F23*"1.496E11"*4/9.81/$F$52))/60/60/24</f>
        <v>12.0319143641708</v>
      </c>
      <c r="G70" s="189">
        <f>SQRT((G23*"1.496E11"*4/9.81/$F$52))/60/60/24</f>
        <v>12.2162638395426</v>
      </c>
      <c r="H70" s="189">
        <f>SQRT((H23*"1.496E11"*4/9.81/$F$52))/60/60/24</f>
        <v>11.5684387817959</v>
      </c>
      <c r="I70" s="189">
        <f>SQRT((I23*"1.496E11"*4/9.81/$F$52))/60/60/24</f>
        <v>10.940147983051</v>
      </c>
      <c r="J70" s="189">
        <f>SQRT((J23*"1.496E11"*4/9.81/$F$52))/60/60/24</f>
        <v>10.9396689905862</v>
      </c>
      <c r="K70" s="189">
        <f>SQRT((K23*"1.496E11"*4/9.81/$F$52))/60/60/24</f>
        <v>11.2487617520921</v>
      </c>
      <c r="L70" s="189">
        <f>SQRT((L23*"1.496E11"*4/9.81/$F$52))/60/60/24</f>
        <v>9.03355337902021</v>
      </c>
      <c r="M70" s="189">
        <f>SQRT((M23*"1.496E11"*4/9.81/$F$52))/60/60/24</f>
        <v>14.6631724508012</v>
      </c>
      <c r="N70" s="189">
        <f>SQRT((N23*"1.496E11"*4/9.81/$F$52))/60/60/24</f>
        <v>9.542662660313029</v>
      </c>
      <c r="O70" s="189">
        <f>SQRT((O23*"1.496E11"*4/9.81/$F$52))/60/60/24</f>
        <v>11.1234776514838</v>
      </c>
      <c r="P70" s="189">
        <f>SQRT((P23*"1.496E11"*4/9.81/$F$52))/60/60/24</f>
        <v>12.9596066228639</v>
      </c>
      <c r="Q70" s="189">
        <f>SQRT((Q23*"1.496E11"*4/9.81/$F$52))/60/60/24</f>
        <v>12.6105850643785</v>
      </c>
      <c r="R70" s="189">
        <f>SQRT((R23*"1.496E11"*4/9.81/$F$52))/60/60/24</f>
        <v>12.2745144698656</v>
      </c>
      <c r="S70" s="189">
        <f>SQRT((S23*"1.496E11"*4/9.81/$F$52))/60/60/24</f>
        <v>13.5914235619694</v>
      </c>
      <c r="T70" s="189">
        <f>SQRT((T23*"1.496E11"*4/9.81/$F$52))/60/60/24</f>
        <v>0</v>
      </c>
      <c r="U70" s="189">
        <f>SQRT((U23*"1.496E11"*4/9.81/$F$52))/60/60/24</f>
        <v>19.1035747390013</v>
      </c>
      <c r="V70" s="189">
        <f>SQRT((V23*"1.496E11"*4/9.81/$F$52))/60/60/24</f>
        <v>25.126165324224</v>
      </c>
      <c r="W70" s="189">
        <f>SQRT((W23*"1.496E11"*4/9.81/$F$52))/60/60/24</f>
        <v>29.210000931225</v>
      </c>
      <c r="X70" s="190">
        <f>SQRT((X23*"1.496E11"*4/9.81/$F$52))/60/60/24</f>
        <v>38.1158104826349</v>
      </c>
    </row>
    <row r="71" ht="19" customHeight="1">
      <c r="A71" t="s" s="137">
        <v>98</v>
      </c>
      <c r="B71" s="197"/>
      <c r="C71" s="197"/>
      <c r="D71" s="197"/>
      <c r="E71" s="197"/>
      <c r="F71" s="189">
        <f>SQRT((F24*"1.496E11"*4/9.81/$F$52))/60/60/24</f>
        <v>15.9989963702808</v>
      </c>
      <c r="G71" s="189">
        <f>SQRT((G24*"1.496E11"*4/9.81/$F$52))/60/60/24</f>
        <v>15.7084940258444</v>
      </c>
      <c r="H71" s="189">
        <f>SQRT((H24*"1.496E11"*4/9.81/$F$52))/60/60/24</f>
        <v>15.8703483600842</v>
      </c>
      <c r="I71" s="189">
        <f>SQRT((I24*"1.496E11"*4/9.81/$F$52))/60/60/24</f>
        <v>16.2833065018573</v>
      </c>
      <c r="J71" s="189">
        <f>SQRT((J24*"1.496E11"*4/9.81/$F$52))/60/60/24</f>
        <v>16.2849949094188</v>
      </c>
      <c r="K71" s="189">
        <f>SQRT((K24*"1.496E11"*4/9.81/$F$52))/60/60/24</f>
        <v>15.7645909164736</v>
      </c>
      <c r="L71" s="189">
        <f>SQRT((L24*"1.496E11"*4/9.81/$F$52))/60/60/24</f>
        <v>18.1453851249498</v>
      </c>
      <c r="M71" s="189">
        <f>SQRT((M24*"1.496E11"*4/9.81/$F$52))/60/60/24</f>
        <v>16.1695198345516</v>
      </c>
      <c r="N71" s="189">
        <f>SQRT((N24*"1.496E11"*4/9.81/$F$52))/60/60/24</f>
        <v>16.564584216190</v>
      </c>
      <c r="O71" s="189">
        <f>SQRT((O24*"1.496E11"*4/9.81/$F$52))/60/60/24</f>
        <v>17.9663482308057</v>
      </c>
      <c r="P71" s="189">
        <f>SQRT((P24*"1.496E11"*4/9.81/$F$52))/60/60/24</f>
        <v>17.6285575043312</v>
      </c>
      <c r="Q71" s="189">
        <f>SQRT((Q24*"1.496E11"*4/9.81/$F$52))/60/60/24</f>
        <v>17.5376905409238</v>
      </c>
      <c r="R71" s="189">
        <f>SQRT((R24*"1.496E11"*4/9.81/$F$52))/60/60/24</f>
        <v>18.0940567423704</v>
      </c>
      <c r="S71" s="189">
        <f>SQRT((S24*"1.496E11"*4/9.81/$F$52))/60/60/24</f>
        <v>16.8373423232136</v>
      </c>
      <c r="T71" s="189">
        <f>SQRT((T24*"1.496E11"*4/9.81/$F$52))/60/60/24</f>
        <v>19.1035747390013</v>
      </c>
      <c r="U71" s="189">
        <f>SQRT((U24*"1.496E11"*4/9.81/$F$52))/60/60/24</f>
        <v>0</v>
      </c>
      <c r="V71" s="189">
        <f>SQRT((V24*"1.496E11"*4/9.81/$F$52))/60/60/24</f>
        <v>17.1410288444218</v>
      </c>
      <c r="W71" s="189">
        <f>SQRT((W24*"1.496E11"*4/9.81/$F$52))/60/60/24</f>
        <v>24.521283092515</v>
      </c>
      <c r="X71" s="190">
        <f>SQRT((X24*"1.496E11"*4/9.81/$F$52))/60/60/24</f>
        <v>33.180286816069</v>
      </c>
    </row>
    <row r="72" ht="19" customHeight="1">
      <c r="A72" t="s" s="137">
        <v>99</v>
      </c>
      <c r="B72" s="197"/>
      <c r="C72" s="197"/>
      <c r="D72" s="197"/>
      <c r="E72" s="197"/>
      <c r="F72" s="189">
        <f>SQRT((F25*"1.496E11"*4/9.81/$F$52))/60/60/24</f>
        <v>23.3378359255303</v>
      </c>
      <c r="G72" s="189">
        <f>SQRT((G25*"1.496E11"*4/9.81/$F$52))/60/60/24</f>
        <v>23.1356077519129</v>
      </c>
      <c r="H72" s="189">
        <f>SQRT((H25*"1.496E11"*4/9.81/$F$52))/60/60/24</f>
        <v>23.1833263697716</v>
      </c>
      <c r="I72" s="189">
        <f>SQRT((I25*"1.496E11"*4/9.81/$F$52))/60/60/24</f>
        <v>23.4377262953785</v>
      </c>
      <c r="J72" s="189">
        <f>SQRT((J25*"1.496E11"*4/9.81/$F$52))/60/60/24</f>
        <v>23.4390794621565</v>
      </c>
      <c r="K72" s="189">
        <f>SQRT((K25*"1.496E11"*4/9.81/$F$52))/60/60/24</f>
        <v>23.0332469369011</v>
      </c>
      <c r="L72" s="189">
        <f>SQRT((L25*"1.496E11"*4/9.81/$F$52))/60/60/24</f>
        <v>24.7469927004521</v>
      </c>
      <c r="M72" s="189">
        <f>SQRT((M25*"1.496E11"*4/9.81/$F$52))/60/60/24</f>
        <v>23.5507193827613</v>
      </c>
      <c r="N72" s="189">
        <f>SQRT((N25*"1.496E11"*4/9.81/$F$52))/60/60/24</f>
        <v>23.369891936420</v>
      </c>
      <c r="O72" s="189">
        <f>SQRT((O25*"1.496E11"*4/9.81/$F$52))/60/60/24</f>
        <v>24.7189918638736</v>
      </c>
      <c r="P72" s="189">
        <f>SQRT((P25*"1.496E11"*4/9.81/$F$52))/60/60/24</f>
        <v>24.568740216420</v>
      </c>
      <c r="Q72" s="189">
        <f>SQRT((Q25*"1.496E11"*4/9.81/$F$52))/60/60/24</f>
        <v>24.4867803352032</v>
      </c>
      <c r="R72" s="189">
        <f>SQRT((R25*"1.496E11"*4/9.81/$F$52))/60/60/24</f>
        <v>24.8831443037071</v>
      </c>
      <c r="S72" s="189">
        <f>SQRT((S25*"1.496E11"*4/9.81/$F$52))/60/60/24</f>
        <v>24.0194210226766</v>
      </c>
      <c r="T72" s="189">
        <f>SQRT((T25*"1.496E11"*4/9.81/$F$52))/60/60/24</f>
        <v>25.126165324224</v>
      </c>
      <c r="U72" s="189">
        <f>SQRT((U25*"1.496E11"*4/9.81/$F$52))/60/60/24</f>
        <v>17.1410288444218</v>
      </c>
      <c r="V72" s="189">
        <f>SQRT((V25*"1.496E11"*4/9.81/$F$52))/60/60/24</f>
        <v>0</v>
      </c>
      <c r="W72" s="189">
        <f>SQRT((W25*"1.496E11"*4/9.81/$F$52))/60/60/24</f>
        <v>18.8699479383681</v>
      </c>
      <c r="X72" s="190">
        <f>SQRT((X25*"1.496E11"*4/9.81/$F$52))/60/60/24</f>
        <v>29.8656608497721</v>
      </c>
    </row>
    <row r="73" ht="19" customHeight="1">
      <c r="A73" t="s" s="137">
        <v>53</v>
      </c>
      <c r="B73" s="197"/>
      <c r="C73" s="197"/>
      <c r="D73" s="197"/>
      <c r="E73" s="197"/>
      <c r="F73" s="189">
        <f>SQRT((F26*"1.496E11"*4/9.81/$F$52))/60/60/24</f>
        <v>28.5343948858531</v>
      </c>
      <c r="G73" s="189">
        <f>SQRT((G26*"1.496E11"*4/9.81/$F$52))/60/60/24</f>
        <v>28.3750815653349</v>
      </c>
      <c r="H73" s="189">
        <f>SQRT((H26*"1.496E11"*4/9.81/$F$52))/60/60/24</f>
        <v>28.3017316415887</v>
      </c>
      <c r="I73" s="189">
        <f>SQRT((I26*"1.496E11"*4/9.81/$F$52))/60/60/24</f>
        <v>28.4427725907725</v>
      </c>
      <c r="J73" s="189">
        <f>SQRT((J26*"1.496E11"*4/9.81/$F$52))/60/60/24</f>
        <v>28.4440505539909</v>
      </c>
      <c r="K73" s="189">
        <f>SQRT((K26*"1.496E11"*4/9.81/$F$52))/60/60/24</f>
        <v>28.0774125492708</v>
      </c>
      <c r="L73" s="189">
        <f>SQRT((L26*"1.496E11"*4/9.81/$F$52))/60/60/24</f>
        <v>29.3917144947181</v>
      </c>
      <c r="M73" s="189">
        <f>SQRT((M26*"1.496E11"*4/9.81/$F$52))/60/60/24</f>
        <v>29.1306670665654</v>
      </c>
      <c r="N73" s="189">
        <f>SQRT((N26*"1.496E11"*4/9.81/$F$52))/60/60/24</f>
        <v>28.042232067532</v>
      </c>
      <c r="O73" s="189">
        <f>SQRT((O26*"1.496E11"*4/9.81/$F$52))/60/60/24</f>
        <v>29.601105998434</v>
      </c>
      <c r="P73" s="189">
        <f>SQRT((P26*"1.496E11"*4/9.81/$F$52))/60/60/24</f>
        <v>29.716732935857</v>
      </c>
      <c r="Q73" s="189">
        <f>SQRT((Q26*"1.496E11"*4/9.81/$F$52))/60/60/24</f>
        <v>29.6066435082309</v>
      </c>
      <c r="R73" s="189">
        <f>SQRT((R26*"1.496E11"*4/9.81/$F$52))/60/60/24</f>
        <v>29.8784298882061</v>
      </c>
      <c r="S73" s="189">
        <f>SQRT((S26*"1.496E11"*4/9.81/$F$52))/60/60/24</f>
        <v>29.3581979711214</v>
      </c>
      <c r="T73" s="189">
        <f>SQRT((T26*"1.496E11"*4/9.81/$F$52))/60/60/24</f>
        <v>29.210000931225</v>
      </c>
      <c r="U73" s="189">
        <f>SQRT((U26*"1.496E11"*4/9.81/$F$52))/60/60/24</f>
        <v>24.521283092515</v>
      </c>
      <c r="V73" s="189">
        <f>SQRT((V26*"1.496E11"*4/9.81/$F$52))/60/60/24</f>
        <v>18.8699479383681</v>
      </c>
      <c r="W73" s="189">
        <f>SQRT((W26*"1.496E11"*4/9.81/$F$52))/60/60/24</f>
        <v>0</v>
      </c>
      <c r="X73" s="190">
        <f>SQRT((X26*"1.496E11"*4/9.81/$F$52))/60/60/24</f>
        <v>30.9371701678538</v>
      </c>
    </row>
    <row r="74" ht="20" customHeight="1">
      <c r="A74" t="s" s="198">
        <v>100</v>
      </c>
      <c r="B74" s="193"/>
      <c r="C74" s="193"/>
      <c r="D74" s="193"/>
      <c r="E74" s="193"/>
      <c r="F74" s="193">
        <f>SQRT((F27*"1.496E11"*4/9.81/$F$52))/60/60/24</f>
        <v>36.5713181502732</v>
      </c>
      <c r="G74" s="193">
        <f>SQRT((G27*"1.496E11"*4/9.81/$F$52))/60/60/24</f>
        <v>36.458655625556</v>
      </c>
      <c r="H74" s="193">
        <f>SQRT((H27*"1.496E11"*4/9.81/$F$52))/60/60/24</f>
        <v>36.5734059365523</v>
      </c>
      <c r="I74" s="193">
        <f>SQRT((I27*"1.496E11"*4/9.81/$F$52))/60/60/24</f>
        <v>36.7621366442042</v>
      </c>
      <c r="J74" s="193">
        <f>SQRT((J27*"1.496E11"*4/9.81/$F$52))/60/60/24</f>
        <v>36.7627325001849</v>
      </c>
      <c r="K74" s="193">
        <f>SQRT((K27*"1.496E11"*4/9.81/$F$52))/60/60/24</f>
        <v>36.568686028176</v>
      </c>
      <c r="L74" s="193">
        <f>SQRT((L27*"1.496E11"*4/9.81/$F$52))/60/60/24</f>
        <v>37.5719603439373</v>
      </c>
      <c r="M74" s="193">
        <f>SQRT((M27*"1.496E11"*4/9.81/$F$52))/60/60/24</f>
        <v>36.2749473519857</v>
      </c>
      <c r="N74" s="193">
        <f>SQRT((N27*"1.496E11"*4/9.81/$F$52))/60/60/24</f>
        <v>36.9234197869104</v>
      </c>
      <c r="O74" s="193">
        <f>SQRT((O27*"1.496E11"*4/9.81/$F$52))/60/60/24</f>
        <v>37.4467938483768</v>
      </c>
      <c r="P74" s="193">
        <f>SQRT((P27*"1.496E11"*4/9.81/$F$52))/60/60/24</f>
        <v>37.0512112119906</v>
      </c>
      <c r="Q74" s="193">
        <f>SQRT((Q27*"1.496E11"*4/9.81/$F$52))/60/60/24</f>
        <v>37.0875188521834</v>
      </c>
      <c r="R74" s="193">
        <f>SQRT((R27*"1.496E11"*4/9.81/$F$52))/60/60/24</f>
        <v>37.3322652404405</v>
      </c>
      <c r="S74" s="193">
        <f>SQRT((S27*"1.496E11"*4/9.81/$F$52))/60/60/24</f>
        <v>36.652269186459</v>
      </c>
      <c r="T74" s="193">
        <f>SQRT((T27*"1.496E11"*4/9.81/$F$52))/60/60/24</f>
        <v>38.1158104826349</v>
      </c>
      <c r="U74" s="193">
        <f>SQRT((U27*"1.496E11"*4/9.81/$F$52))/60/60/24</f>
        <v>33.180286816069</v>
      </c>
      <c r="V74" s="193">
        <f>SQRT((V27*"1.496E11"*4/9.81/$F$52))/60/60/24</f>
        <v>29.8656608497721</v>
      </c>
      <c r="W74" s="193">
        <f>SQRT((W27*"1.496E11"*4/9.81/$F$52))/60/60/24</f>
        <v>30.9371701678538</v>
      </c>
      <c r="X74" s="194">
        <f>SQRT((X27*"1.496E11"*4/9.81/$F$52))/60/60/24</f>
        <v>0</v>
      </c>
    </row>
    <row r="75" ht="21" customHeight="1">
      <c r="A75" s="157"/>
      <c r="B75" s="158"/>
      <c r="C75" s="158"/>
      <c r="D75" s="158"/>
      <c r="E75" s="158"/>
      <c r="F75" s="158"/>
      <c r="G75" s="158"/>
      <c r="H75" s="158"/>
      <c r="I75" s="165"/>
      <c r="J75" s="158"/>
      <c r="K75" s="158"/>
      <c r="L75" s="158"/>
      <c r="M75" s="158"/>
      <c r="N75" s="158"/>
      <c r="O75" s="158"/>
      <c r="P75" s="158"/>
      <c r="Q75" s="158"/>
      <c r="R75" s="158"/>
      <c r="S75" s="158"/>
      <c r="T75" s="158"/>
      <c r="U75" s="158"/>
      <c r="V75" s="158"/>
      <c r="W75" s="158"/>
      <c r="X75" s="159"/>
    </row>
    <row r="76" ht="21" customHeight="1">
      <c r="A76" t="s" s="127">
        <v>133</v>
      </c>
      <c r="B76" s="161"/>
      <c r="C76" s="161"/>
      <c r="D76" s="161"/>
      <c r="E76" s="161"/>
      <c r="F76" s="161"/>
      <c r="G76" s="161"/>
      <c r="H76" s="162"/>
      <c r="I76" s="207"/>
      <c r="J76" t="s" s="127">
        <v>0</v>
      </c>
      <c r="K76" s="161"/>
      <c r="L76" s="161"/>
      <c r="M76" s="161"/>
      <c r="N76" s="161"/>
      <c r="O76" s="161"/>
      <c r="P76" s="161"/>
      <c r="Q76" s="161"/>
      <c r="R76" s="161"/>
      <c r="S76" s="161"/>
      <c r="T76" s="161"/>
      <c r="U76" s="161"/>
      <c r="V76" s="161"/>
      <c r="W76" s="161"/>
      <c r="X76" s="162"/>
    </row>
    <row r="77" ht="16.45" customHeight="1">
      <c r="A77" t="s" s="184">
        <v>116</v>
      </c>
      <c r="B77" s="185"/>
      <c r="C77" s="185"/>
      <c r="D77" s="185"/>
      <c r="E77" s="185"/>
      <c r="F77" t="s" s="186">
        <v>134</v>
      </c>
      <c r="G77" t="s" s="186">
        <v>135</v>
      </c>
      <c r="H77" t="s" s="208">
        <v>136</v>
      </c>
      <c r="I77" s="209"/>
      <c r="J77" t="s" s="210">
        <v>102</v>
      </c>
      <c r="K77" s="211"/>
      <c r="L77" t="s" s="212">
        <v>137</v>
      </c>
      <c r="M77" s="213"/>
      <c r="N77" s="213"/>
      <c r="O77" s="213"/>
      <c r="P77" s="213"/>
      <c r="Q77" s="213"/>
      <c r="R77" s="213"/>
      <c r="S77" s="213"/>
      <c r="T77" s="213"/>
      <c r="U77" s="213"/>
      <c r="V77" s="213"/>
      <c r="W77" s="213"/>
      <c r="X77" s="166"/>
    </row>
    <row r="78" ht="19" customHeight="1">
      <c r="A78" t="s" s="137">
        <v>129</v>
      </c>
      <c r="B78" s="197"/>
      <c r="C78" s="197"/>
      <c r="D78" s="197"/>
      <c r="E78" s="197"/>
      <c r="F78" s="189">
        <v>0</v>
      </c>
      <c r="G78" s="189">
        <v>0</v>
      </c>
      <c r="H78" s="214">
        <v>0</v>
      </c>
      <c r="I78" s="209"/>
      <c r="J78" t="s" s="215">
        <v>102</v>
      </c>
      <c r="K78" s="216"/>
      <c r="L78" t="s" s="217">
        <v>138</v>
      </c>
      <c r="M78" s="218"/>
      <c r="N78" s="218"/>
      <c r="O78" s="218"/>
      <c r="P78" s="218"/>
      <c r="Q78" s="218"/>
      <c r="R78" s="218"/>
      <c r="S78" s="218"/>
      <c r="T78" s="218"/>
      <c r="U78" s="218"/>
      <c r="V78" s="218"/>
      <c r="W78" s="218"/>
      <c r="X78" s="169"/>
    </row>
    <row r="79" ht="19" customHeight="1">
      <c r="A79" t="s" s="137">
        <v>90</v>
      </c>
      <c r="B79" s="197"/>
      <c r="C79" s="197"/>
      <c r="D79" s="197"/>
      <c r="E79" s="197"/>
      <c r="F79" s="189">
        <v>0.3372472</v>
      </c>
      <c r="G79" s="189">
        <v>0.0761385</v>
      </c>
      <c r="H79" s="214">
        <v>-0.0272034</v>
      </c>
      <c r="I79" s="209"/>
      <c r="J79" t="s" s="215">
        <v>3</v>
      </c>
      <c r="K79" s="216"/>
      <c r="L79" t="s" s="217">
        <v>139</v>
      </c>
      <c r="M79" s="218"/>
      <c r="N79" s="218"/>
      <c r="O79" s="218"/>
      <c r="P79" s="218"/>
      <c r="Q79" s="218"/>
      <c r="R79" s="218"/>
      <c r="S79" s="218"/>
      <c r="T79" s="218"/>
      <c r="U79" s="218"/>
      <c r="V79" s="218"/>
      <c r="W79" s="218"/>
      <c r="X79" s="169"/>
    </row>
    <row r="80" ht="19" customHeight="1">
      <c r="A80" t="s" s="137">
        <v>91</v>
      </c>
      <c r="B80" s="197"/>
      <c r="C80" s="197"/>
      <c r="D80" s="197"/>
      <c r="E80" s="197"/>
      <c r="F80" s="189">
        <v>0.4595047</v>
      </c>
      <c r="G80" s="189">
        <v>-0.5637969</v>
      </c>
      <c r="H80" s="214">
        <v>-0.0327592</v>
      </c>
      <c r="I80" s="209"/>
      <c r="J80" t="s" s="215">
        <v>5</v>
      </c>
      <c r="K80" s="216"/>
      <c r="L80" t="s" s="217">
        <v>140</v>
      </c>
      <c r="M80" s="218"/>
      <c r="N80" s="218"/>
      <c r="O80" s="218"/>
      <c r="P80" s="218"/>
      <c r="Q80" s="218"/>
      <c r="R80" s="218"/>
      <c r="S80" s="218"/>
      <c r="T80" s="218"/>
      <c r="U80" s="218"/>
      <c r="V80" s="218"/>
      <c r="W80" s="218"/>
      <c r="X80" s="169"/>
    </row>
    <row r="81" ht="19.8" customHeight="1">
      <c r="A81" t="s" s="137">
        <v>49</v>
      </c>
      <c r="B81" s="197"/>
      <c r="C81" s="197"/>
      <c r="D81" s="197"/>
      <c r="E81" s="197"/>
      <c r="F81" s="189">
        <v>0.1532678</v>
      </c>
      <c r="G81" s="189">
        <v>-1.0046601</v>
      </c>
      <c r="H81" s="214">
        <v>0</v>
      </c>
      <c r="I81" s="209"/>
      <c r="J81" t="s" s="215">
        <v>27</v>
      </c>
      <c r="K81" s="216"/>
      <c r="L81" t="s" s="217">
        <v>28</v>
      </c>
      <c r="M81" s="218"/>
      <c r="N81" s="218"/>
      <c r="O81" s="218"/>
      <c r="P81" s="218"/>
      <c r="Q81" s="218"/>
      <c r="R81" s="218"/>
      <c r="S81" s="218"/>
      <c r="T81" s="218"/>
      <c r="U81" s="218"/>
      <c r="V81" s="218"/>
      <c r="W81" s="218"/>
      <c r="X81" s="169"/>
    </row>
    <row r="82" ht="19.15" customHeight="1">
      <c r="A82" t="s" s="137">
        <v>117</v>
      </c>
      <c r="B82" s="197"/>
      <c r="C82" s="197"/>
      <c r="D82" s="197"/>
      <c r="E82" s="197"/>
      <c r="F82" s="189">
        <v>0.1506089</v>
      </c>
      <c r="G82" s="189">
        <v>-1.0041508</v>
      </c>
      <c r="H82" s="214">
        <v>1.52e-05</v>
      </c>
      <c r="I82" s="209"/>
      <c r="J82" t="s" s="215">
        <v>29</v>
      </c>
      <c r="K82" s="216"/>
      <c r="L82" t="s" s="217">
        <v>30</v>
      </c>
      <c r="M82" s="218"/>
      <c r="N82" s="218"/>
      <c r="O82" s="218"/>
      <c r="P82" s="218"/>
      <c r="Q82" s="218"/>
      <c r="R82" s="218"/>
      <c r="S82" s="218"/>
      <c r="T82" s="218"/>
      <c r="U82" s="218"/>
      <c r="V82" s="218"/>
      <c r="W82" s="218"/>
      <c r="X82" s="169"/>
    </row>
    <row r="83" ht="19" customHeight="1">
      <c r="A83" t="s" s="137">
        <v>93</v>
      </c>
      <c r="B83" s="197"/>
      <c r="C83" s="197"/>
      <c r="D83" s="197"/>
      <c r="E83" s="197"/>
      <c r="F83" s="189">
        <v>0.9096571</v>
      </c>
      <c r="G83" s="189">
        <v>-1.0620063</v>
      </c>
      <c r="H83" s="214">
        <v>-0.0441679</v>
      </c>
      <c r="I83" s="209"/>
      <c r="J83" t="s" s="215">
        <v>141</v>
      </c>
      <c r="K83" s="216"/>
      <c r="L83" t="s" s="217">
        <v>142</v>
      </c>
      <c r="M83" s="218"/>
      <c r="N83" s="218"/>
      <c r="O83" s="218"/>
      <c r="P83" s="218"/>
      <c r="Q83" s="218"/>
      <c r="R83" s="218"/>
      <c r="S83" s="218"/>
      <c r="T83" s="218"/>
      <c r="U83" s="218"/>
      <c r="V83" s="218"/>
      <c r="W83" s="218"/>
      <c r="X83" s="169"/>
    </row>
    <row r="84" ht="19" customHeight="1">
      <c r="A84" t="s" s="137">
        <v>95</v>
      </c>
      <c r="B84" s="197"/>
      <c r="C84" s="197"/>
      <c r="D84" s="197"/>
      <c r="E84" s="197"/>
      <c r="F84" s="189">
        <f>F86*COS(PI()/3)+G86*SIN(PI()/3)</f>
        <v>-1.86522889358593</v>
      </c>
      <c r="G84" s="189">
        <f>F86*-SIN(PI()/3)+G86*COS(PI()/3)</f>
        <v>-2.22361738856369</v>
      </c>
      <c r="H84" s="214">
        <f>H86/3</f>
        <v>-0.08959166666666669</v>
      </c>
      <c r="I84" s="209"/>
      <c r="J84" t="s" s="215">
        <v>31</v>
      </c>
      <c r="K84" s="216"/>
      <c r="L84" t="s" s="217">
        <v>32</v>
      </c>
      <c r="M84" s="218"/>
      <c r="N84" s="218"/>
      <c r="O84" s="218"/>
      <c r="P84" s="218"/>
      <c r="Q84" s="218"/>
      <c r="R84" s="218"/>
      <c r="S84" s="218"/>
      <c r="T84" s="218"/>
      <c r="U84" s="218"/>
      <c r="V84" s="218"/>
      <c r="W84" s="218"/>
      <c r="X84" s="169"/>
    </row>
    <row r="85" ht="20" customHeight="1">
      <c r="A85" t="s" s="137">
        <v>96</v>
      </c>
      <c r="B85" s="197"/>
      <c r="C85" s="197"/>
      <c r="D85" s="197"/>
      <c r="E85" s="197"/>
      <c r="F85" s="189">
        <f>-F86</f>
        <v>-0.9930947</v>
      </c>
      <c r="G85" s="189">
        <f>-G86</f>
        <v>2.7271443</v>
      </c>
      <c r="H85" s="214">
        <f>-H86</f>
        <v>0.268775</v>
      </c>
      <c r="I85" s="209"/>
      <c r="J85" t="s" s="219">
        <v>33</v>
      </c>
      <c r="K85" s="220"/>
      <c r="L85" t="s" s="221">
        <v>143</v>
      </c>
      <c r="M85" s="222"/>
      <c r="N85" s="222"/>
      <c r="O85" s="222"/>
      <c r="P85" s="222"/>
      <c r="Q85" s="222"/>
      <c r="R85" s="222"/>
      <c r="S85" s="222"/>
      <c r="T85" s="222"/>
      <c r="U85" s="222"/>
      <c r="V85" s="222"/>
      <c r="W85" s="222"/>
      <c r="X85" s="174"/>
    </row>
    <row r="86" ht="20" customHeight="1">
      <c r="A86" t="s" s="137">
        <v>94</v>
      </c>
      <c r="B86" s="197"/>
      <c r="C86" s="197"/>
      <c r="D86" s="197"/>
      <c r="E86" s="197"/>
      <c r="F86" s="189">
        <v>0.9930947</v>
      </c>
      <c r="G86" s="189">
        <v>-2.7271443</v>
      </c>
      <c r="H86" s="214">
        <v>-0.268775</v>
      </c>
      <c r="I86" s="223"/>
      <c r="J86" s="224"/>
      <c r="K86" s="224"/>
      <c r="L86" s="165"/>
      <c r="M86" s="165"/>
      <c r="N86" s="165"/>
      <c r="O86" s="165"/>
      <c r="P86" s="165"/>
      <c r="Q86" s="165"/>
      <c r="R86" s="165"/>
      <c r="S86" s="165"/>
      <c r="T86" s="165"/>
      <c r="U86" s="165"/>
      <c r="V86" s="165"/>
      <c r="W86" s="165"/>
      <c r="X86" s="225"/>
    </row>
    <row r="87" ht="19" customHeight="1">
      <c r="A87" t="s" s="137">
        <v>120</v>
      </c>
      <c r="B87" s="197"/>
      <c r="C87" s="197"/>
      <c r="D87" s="197"/>
      <c r="E87" s="197"/>
      <c r="F87" s="189">
        <v>-2.28899</v>
      </c>
      <c r="G87" s="189">
        <v>-0.7820095</v>
      </c>
      <c r="H87" s="214">
        <v>0.7319143</v>
      </c>
      <c r="I87" s="223"/>
      <c r="J87" s="168"/>
      <c r="K87" s="168"/>
      <c r="L87" s="168"/>
      <c r="M87" s="168"/>
      <c r="N87" s="168"/>
      <c r="O87" s="168"/>
      <c r="P87" s="168"/>
      <c r="Q87" s="168"/>
      <c r="R87" s="168"/>
      <c r="S87" s="168"/>
      <c r="T87" s="168"/>
      <c r="U87" s="168"/>
      <c r="V87" s="168"/>
      <c r="W87" s="168"/>
      <c r="X87" s="202"/>
    </row>
    <row r="88" ht="19" customHeight="1">
      <c r="A88" t="s" s="137">
        <v>121</v>
      </c>
      <c r="B88" s="197"/>
      <c r="C88" s="197"/>
      <c r="D88" s="197"/>
      <c r="E88" s="197"/>
      <c r="F88" s="189">
        <v>-2.4768699</v>
      </c>
      <c r="G88" s="189">
        <v>0.8883586</v>
      </c>
      <c r="H88" s="214">
        <v>-0.1011862</v>
      </c>
      <c r="I88" s="223"/>
      <c r="J88" s="168"/>
      <c r="K88" s="168"/>
      <c r="L88" s="168"/>
      <c r="M88" s="168"/>
      <c r="N88" s="168"/>
      <c r="O88" s="168"/>
      <c r="P88" s="168"/>
      <c r="Q88" s="168"/>
      <c r="R88" s="168"/>
      <c r="S88" s="168"/>
      <c r="T88" s="168"/>
      <c r="U88" s="168"/>
      <c r="V88" s="168"/>
      <c r="W88" s="168"/>
      <c r="X88" s="202"/>
    </row>
    <row r="89" ht="19" customHeight="1">
      <c r="A89" t="s" s="137">
        <v>122</v>
      </c>
      <c r="B89" s="197"/>
      <c r="C89" s="197"/>
      <c r="D89" s="197"/>
      <c r="E89" s="197"/>
      <c r="F89" s="189">
        <v>-2.250651</v>
      </c>
      <c r="G89" s="189">
        <v>0.5950354</v>
      </c>
      <c r="H89" s="214">
        <v>0.2559016</v>
      </c>
      <c r="I89" s="223"/>
      <c r="J89" s="168"/>
      <c r="K89" s="168"/>
      <c r="L89" s="168"/>
      <c r="M89" s="168"/>
      <c r="N89" s="168"/>
      <c r="O89" s="168"/>
      <c r="P89" s="168"/>
      <c r="Q89" s="168"/>
      <c r="R89" s="168"/>
      <c r="S89" s="168"/>
      <c r="T89" s="168"/>
      <c r="U89" s="168"/>
      <c r="V89" s="168"/>
      <c r="W89" s="168"/>
      <c r="X89" s="202"/>
    </row>
    <row r="90" ht="19" customHeight="1">
      <c r="A90" t="s" s="137">
        <v>123</v>
      </c>
      <c r="B90" s="197"/>
      <c r="C90" s="197"/>
      <c r="D90" s="197"/>
      <c r="E90" s="197"/>
      <c r="F90" s="189">
        <v>-2.880313</v>
      </c>
      <c r="G90" s="189">
        <v>0.1355898</v>
      </c>
      <c r="H90" s="214">
        <v>-0.0312683</v>
      </c>
      <c r="I90" s="223"/>
      <c r="J90" s="168"/>
      <c r="K90" s="168"/>
      <c r="L90" s="168"/>
      <c r="M90" s="168"/>
      <c r="N90" s="168"/>
      <c r="O90" s="168"/>
      <c r="P90" s="168"/>
      <c r="Q90" s="168"/>
      <c r="R90" s="168"/>
      <c r="S90" s="168"/>
      <c r="T90" s="168"/>
      <c r="U90" s="168"/>
      <c r="V90" s="168"/>
      <c r="W90" s="168"/>
      <c r="X90" s="202"/>
    </row>
    <row r="91" ht="19" customHeight="1">
      <c r="A91" t="s" s="137">
        <v>124</v>
      </c>
      <c r="B91" s="197"/>
      <c r="C91" s="197"/>
      <c r="D91" s="197"/>
      <c r="E91" s="197"/>
      <c r="F91" s="189">
        <v>-1.6309099</v>
      </c>
      <c r="G91" s="189">
        <v>1.6116008</v>
      </c>
      <c r="H91" s="214">
        <v>-0.1454406</v>
      </c>
      <c r="I91" s="223"/>
      <c r="J91" s="168"/>
      <c r="K91" s="168"/>
      <c r="L91" s="168"/>
      <c r="M91" s="168"/>
      <c r="N91" s="168"/>
      <c r="O91" s="168"/>
      <c r="P91" s="168"/>
      <c r="Q91" s="168"/>
      <c r="R91" s="168"/>
      <c r="S91" s="168"/>
      <c r="T91" s="168"/>
      <c r="U91" s="168"/>
      <c r="V91" s="168"/>
      <c r="W91" s="168"/>
      <c r="X91" s="202"/>
    </row>
    <row r="92" ht="19" customHeight="1">
      <c r="A92" t="s" s="137">
        <v>97</v>
      </c>
      <c r="B92" s="197"/>
      <c r="C92" s="197"/>
      <c r="D92" s="197"/>
      <c r="E92" s="197"/>
      <c r="F92" s="189">
        <v>-1.2792889</v>
      </c>
      <c r="G92" s="189">
        <v>-5.1583932</v>
      </c>
      <c r="H92" s="214">
        <v>0.0512867</v>
      </c>
      <c r="I92" s="223"/>
      <c r="J92" s="168"/>
      <c r="K92" s="168"/>
      <c r="L92" s="168"/>
      <c r="M92" s="168"/>
      <c r="N92" s="168"/>
      <c r="O92" s="168"/>
      <c r="P92" s="168"/>
      <c r="Q92" s="168"/>
      <c r="R92" s="168"/>
      <c r="S92" s="168"/>
      <c r="T92" s="168"/>
      <c r="U92" s="168"/>
      <c r="V92" s="168"/>
      <c r="W92" s="168"/>
      <c r="X92" s="202"/>
    </row>
    <row r="93" ht="19" customHeight="1">
      <c r="A93" t="s" s="137">
        <v>98</v>
      </c>
      <c r="B93" s="197"/>
      <c r="C93" s="197"/>
      <c r="D93" s="197"/>
      <c r="E93" s="197"/>
      <c r="F93" s="189">
        <v>8.4982895</v>
      </c>
      <c r="G93" s="189">
        <v>3.9908825</v>
      </c>
      <c r="H93" s="214">
        <v>-0.4057796</v>
      </c>
      <c r="I93" s="223"/>
      <c r="J93" s="168"/>
      <c r="K93" s="168"/>
      <c r="L93" s="168"/>
      <c r="M93" s="168"/>
      <c r="N93" s="168"/>
      <c r="O93" s="168"/>
      <c r="P93" s="168"/>
      <c r="Q93" s="168"/>
      <c r="R93" s="168"/>
      <c r="S93" s="168"/>
      <c r="T93" s="168"/>
      <c r="U93" s="168"/>
      <c r="V93" s="168"/>
      <c r="W93" s="168"/>
      <c r="X93" s="202"/>
    </row>
    <row r="94" ht="19" customHeight="1">
      <c r="A94" t="s" s="137">
        <v>99</v>
      </c>
      <c r="B94" s="197"/>
      <c r="C94" s="197"/>
      <c r="D94" s="197"/>
      <c r="E94" s="197"/>
      <c r="F94" s="189">
        <v>19.1253348</v>
      </c>
      <c r="G94" s="189">
        <v>5.8325881</v>
      </c>
      <c r="H94" s="214">
        <v>-0.2241249</v>
      </c>
      <c r="I94" s="223"/>
      <c r="J94" s="168"/>
      <c r="K94" s="168"/>
      <c r="L94" s="168"/>
      <c r="M94" s="168"/>
      <c r="N94" s="168"/>
      <c r="O94" s="168"/>
      <c r="P94" s="168"/>
      <c r="Q94" s="168"/>
      <c r="R94" s="168"/>
      <c r="S94" s="168"/>
      <c r="T94" s="168"/>
      <c r="U94" s="168"/>
      <c r="V94" s="168"/>
      <c r="W94" s="168"/>
      <c r="X94" s="202"/>
    </row>
    <row r="95" ht="19" customHeight="1">
      <c r="A95" t="s" s="137">
        <v>53</v>
      </c>
      <c r="B95" s="197"/>
      <c r="C95" s="197"/>
      <c r="D95" s="197"/>
      <c r="E95" s="197"/>
      <c r="F95" s="189">
        <v>29.8412732</v>
      </c>
      <c r="G95" s="189">
        <v>-1.6458435</v>
      </c>
      <c r="H95" s="214">
        <v>-0.596949</v>
      </c>
      <c r="I95" s="223"/>
      <c r="J95" s="168"/>
      <c r="K95" s="168"/>
      <c r="L95" s="168"/>
      <c r="M95" s="168"/>
      <c r="N95" s="168"/>
      <c r="O95" s="168"/>
      <c r="P95" s="168"/>
      <c r="Q95" s="168"/>
      <c r="R95" s="168"/>
      <c r="S95" s="168"/>
      <c r="T95" s="168"/>
      <c r="U95" s="168"/>
      <c r="V95" s="168"/>
      <c r="W95" s="168"/>
      <c r="X95" s="202"/>
    </row>
    <row r="96" ht="20" customHeight="1">
      <c r="A96" t="s" s="226">
        <v>100</v>
      </c>
      <c r="B96" s="227"/>
      <c r="C96" s="227"/>
      <c r="D96" s="227"/>
      <c r="E96" s="227"/>
      <c r="F96" s="193">
        <v>36.0692626</v>
      </c>
      <c r="G96" s="193">
        <v>30.2293871</v>
      </c>
      <c r="H96" s="228">
        <v>-14.0103531</v>
      </c>
      <c r="I96" s="229"/>
      <c r="J96" s="230"/>
      <c r="K96" s="230"/>
      <c r="L96" s="230"/>
      <c r="M96" s="230"/>
      <c r="N96" s="230"/>
      <c r="O96" s="230"/>
      <c r="P96" s="230"/>
      <c r="Q96" s="230"/>
      <c r="R96" s="230"/>
      <c r="S96" s="230"/>
      <c r="T96" s="230"/>
      <c r="U96" s="230"/>
      <c r="V96" s="230"/>
      <c r="W96" s="230"/>
      <c r="X96" s="231"/>
    </row>
  </sheetData>
  <hyperlinks>
    <hyperlink ref="L77" r:id="rId1" location="" tooltip="" display="Distances are calculated using data from http://cosinekitty.com/solar_system.html"/>
    <hyperlink ref="L84" r:id="rId2" location="" tooltip="" display="Please email me at haywire at iandrea.co.uk"/>
  </hyperlink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