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Notes" sheetId="1" r:id="rId4"/>
    <sheet name="Screen" sheetId="2" r:id="rId5"/>
  </sheets>
</workbook>
</file>

<file path=xl/sharedStrings.xml><?xml version="1.0" encoding="utf-8"?>
<sst xmlns="http://schemas.openxmlformats.org/spreadsheetml/2006/main" uniqueCount="103">
  <si>
    <t>NOTES</t>
  </si>
  <si>
    <t>Distances</t>
  </si>
  <si>
    <r>
      <rPr>
        <sz val="10"/>
        <color indexed="8"/>
        <rFont val="DIN Alternate Bold"/>
      </rPr>
      <t xml:space="preserve">Distances are calculated with the help of this article: </t>
    </r>
    <r>
      <rPr>
        <u val="single"/>
        <sz val="10"/>
        <color indexed="8"/>
        <rFont val="DIN Alternate Bold"/>
      </rPr>
      <t>https://physicstoday.scitation.org/do/10.1063/PT.6.3.20190312a/full/</t>
    </r>
    <r>
      <rPr>
        <sz val="10"/>
        <color indexed="8"/>
        <rFont val="DIN Alternate Bold"/>
      </rPr>
      <t xml:space="preserve">.
</t>
    </r>
    <r>
      <rPr>
        <sz val="10"/>
        <color indexed="8"/>
        <rFont val="DIN Alternate Bold"/>
      </rPr>
      <t>All orbits are assumed circular.</t>
    </r>
  </si>
  <si>
    <t>Anderson and Tycho Stations are assumed to be on the same orbit as Ceres, with Anderson opposite Ceres, and Tycho at the L4/L3 point from Ceres.</t>
  </si>
  <si>
    <r>
      <rPr>
        <sz val="10"/>
        <color indexed="8"/>
        <rFont val="DIN Alternate Bold"/>
      </rPr>
      <t xml:space="preserve">I used this site to help me with the elliptic integrals: </t>
    </r>
    <r>
      <rPr>
        <u val="single"/>
        <sz val="10"/>
        <color indexed="8"/>
        <rFont val="DIN Alternate Bold"/>
      </rPr>
      <t>https://keisan.casio.com/exec/system/1180573458</t>
    </r>
  </si>
  <si>
    <r>
      <rPr>
        <sz val="10"/>
        <color indexed="8"/>
        <rFont val="DIN Alternate Bold"/>
      </rPr>
      <t xml:space="preserve">If you want to use real distances, I can recommend </t>
    </r>
    <r>
      <rPr>
        <u val="single"/>
        <sz val="10"/>
        <color indexed="8"/>
        <rFont val="DIN Alternate Bold"/>
      </rPr>
      <t>https://www.wolframalpha.com/input/?i=+distance+from+earth+to+mars+15%2F8%2F2215</t>
    </r>
    <r>
      <rPr>
        <sz val="10"/>
        <color indexed="8"/>
        <rFont val="DIN Alternate Bold"/>
      </rPr>
      <t>.</t>
    </r>
  </si>
  <si>
    <r>
      <rPr>
        <sz val="10"/>
        <color indexed="8"/>
        <rFont val="DIN Alternate Bold"/>
      </rPr>
      <t xml:space="preserve">You will need to know the date that the Expanse is set, and keep track of time. See: </t>
    </r>
    <r>
      <rPr>
        <u val="single"/>
        <sz val="10"/>
        <color indexed="8"/>
        <rFont val="DIN Alternate Bold"/>
      </rPr>
      <t>https://scifi.stackexchange.com/questions/156761/when-does-the-expanse-take-place</t>
    </r>
  </si>
  <si>
    <t>Travel times</t>
  </si>
  <si>
    <t>Travel times are calculated assuming the same acceleration and burn times for both acceleration and deceleration, with an intermediate coast, if that is necessary to reach the destination.</t>
  </si>
  <si>
    <t>Cell colours</t>
  </si>
  <si>
    <t>Cells with red text are for data input. 
Do not edit any of the other cells. 
Cells with white text and a red background are warnings (see below).</t>
  </si>
  <si>
    <t>How to use the TRAVEL TIME calculator</t>
  </si>
  <si>
    <t>Select the departure and destination locations in the ‘From’ and ‘To’ cells.
Set the acceleration in ‘Accel, a’ and the duration of burn in ‘Taccel, ta’.
‘Tcruise, tc’ gives the duration of the cruise period of the trip.
‘Total, t’ gives the total duration (i.e. acceleration period plus coast period plus deceleration period).
‘Propellant’ indicates how much propellant is used in units of acceleration * time (ie. delta v)
‘Fraction’ indicates what fraction of the ship’s propellant is used on the trip.</t>
  </si>
  <si>
    <t>How to use the TRAVEL TIME (GENERIC) calculator</t>
  </si>
  <si>
    <t>This is very much like the TRAVEL TIME calculator except, instead of selecting the departure and destination, you just enter the total distance to travel.</t>
  </si>
  <si>
    <t>How to use the TRAVEL TIME (NO COAST) calculator</t>
  </si>
  <si>
    <t>Enter the total distance and the acceleration. This will calculate the total time, assuming you are doing no coasting, just doing a burn-flip-burn.</t>
  </si>
  <si>
    <t>Ship parameters</t>
  </si>
  <si>
    <t>This contains information on the amount of burn and duration of burn the ship can do on a full tank of propellant.
 It is pre-populated with values for the Rocinante, based on a comment by Alex, along the lines of “the Roci can pull 0.3 g for about 4 weeks”.
I am assuming a inverse relationship between acceleration and burn duration. So the Roci can pull 0.3 g for 28 days, or 3 g for 2.8 days, etc.
The engine is probably less efficient at higher accelerations, but I haven’t tried to factor this in.
You will have to guess the values for other ships.</t>
  </si>
  <si>
    <t>‘Tcruise’ warning</t>
  </si>
  <si>
    <t>If the ‘Tcruise’ cell goes red, it indicates that a negative Tcruise has been calculated. This occurs when the acceleration and its duration are too large and you would overshoot the destination. Reduce ‘Accel’ and/or ‘Taccel’ until the ‘Tcruise’ cell is no longer red.</t>
  </si>
  <si>
    <t>Fraction’ (Propellant) warning.</t>
  </si>
  <si>
    <t>If this cell goes red, it indicate you do not have enough propellant to reach your destination. Reduce ‘Accel’ and/or ‘Taccel’ until the cell is no longer red.</t>
  </si>
  <si>
    <t>Comparison with distances in the rules</t>
  </si>
  <si>
    <r>
      <rPr>
        <sz val="10"/>
        <color indexed="8"/>
        <rFont val="DIN Alternate Bold"/>
      </rPr>
      <t xml:space="preserve">How do these value compare with the rules?
</t>
    </r>
    <r>
      <rPr>
        <sz val="10"/>
        <color indexed="8"/>
        <rFont val="DIN Alternate Bold"/>
      </rPr>
      <t xml:space="preserve">Distances are very different. This is a consequence of the arguments given in  </t>
    </r>
    <r>
      <rPr>
        <u val="single"/>
        <sz val="10"/>
        <color indexed="8"/>
        <rFont val="DIN Alternate Bold"/>
      </rPr>
      <t>https://physicstoday.scitation.org/do/10.1063/PT.6.3.20190312a/full/</t>
    </r>
    <r>
      <rPr>
        <sz val="10"/>
        <color indexed="8"/>
        <rFont val="DIN Alternate Bold"/>
      </rPr>
      <t>.</t>
    </r>
  </si>
  <si>
    <t>See, for example, Pluto to Neptune. In the rules it is 9.42 au. Here it is 45.6 au. It could be that the rules authors took the average distance between the two planets over the duration that the expanse is set.</t>
  </si>
  <si>
    <r>
      <rPr>
        <sz val="10"/>
        <color indexed="8"/>
        <rFont val="DIN Alternate Bold"/>
      </rPr>
      <t>However, this (</t>
    </r>
    <r>
      <rPr>
        <u val="single"/>
        <sz val="10"/>
        <color indexed="8"/>
        <rFont val="DIN Alternate Bold"/>
      </rPr>
      <t>https://www.wolframalpha.com/input/?i=+distance+from+neptune+to+pluto+01%2F07%2F2350</t>
    </r>
    <r>
      <rPr>
        <sz val="10"/>
        <color indexed="8"/>
        <rFont val="DIN Alternate Bold"/>
      </rPr>
      <t xml:space="preserve">) would suggest that the distance then is about 33 au. </t>
    </r>
  </si>
  <si>
    <t>Comparison of travel times with the rules</t>
  </si>
  <si>
    <t>Consider a trip from Earth to Jupiter (4.2 au in the rules). 
The rules give travel times of: 
257 hours at 0.3 g; 141 hours at 1 g; 53 hours at 7 g; 41 hours at 12 g.
Using the parameters for the Rocinante, this spreadsheet predicts (for 4.2 au):
257 hours at 0.3 g; 141 hours at 1 g; 53 hours at 7 g; 41 hours at 12 g.
Note: the two calculations are in good agreement (because none of these burns uses all the Roci’s propellant (the 12 g burn uses 69%).</t>
  </si>
  <si>
    <t>Consider now a trip from Earth to Pluto (38.53 au in the rules).
The rules give travel times of: 
778 hours at 0.3 g; 426 hours at 1 g; 161 hours at 7 g; 123 hours at 12 g 
(32.4 days, 17.8 days, 6.7 days, 5.1 days, respectively).
Using the parameters for the Rocinante, this spreadsheet predicts (for 38.53 au):
32.4 days at 0.3 g (35% propellant); 17.7 days at 1 g (63% propellant); 7.6 days at 7 g (100% propellant); 6.8 days at 12 g (100% propellant).</t>
  </si>
  <si>
    <t>So, for the 7 g and 12 g burns, the Roci has to coast for the middle section of the trip. She will achieve the same maximum speed in both cases, but will get to Pluto faster with the 12 g burn because she will hit that maximum speed faster, and maintain it for longer, than in the 7 g burn case.</t>
  </si>
  <si>
    <t>Miscellaneous</t>
  </si>
  <si>
    <t>This spreadsheet was developed in Apple’s Numbers application. It may have a few rough edges when converted to Microsoft Excel. I have tried as best as possible to structure it in Numbers to minimise any problems.</t>
  </si>
  <si>
    <t>Created by</t>
  </si>
  <si>
    <t xml:space="preserve">Ian Hayward. </t>
  </si>
  <si>
    <t>Comments/questions</t>
  </si>
  <si>
    <r>
      <rPr>
        <sz val="10"/>
        <color indexed="8"/>
        <rFont val="DIN Alternate Bold"/>
      </rPr>
      <t xml:space="preserve">Please email me at haywire at </t>
    </r>
    <r>
      <rPr>
        <u val="single"/>
        <sz val="10"/>
        <color indexed="8"/>
        <rFont val="DIN Alternate Bold"/>
      </rPr>
      <t>iandrea.co.uk</t>
    </r>
  </si>
  <si>
    <t>Version history</t>
  </si>
  <si>
    <t>09/02/2020: Version 01-A</t>
  </si>
  <si>
    <t>TRAVEL TIME (NO COAST)</t>
  </si>
  <si>
    <t>Use for no coast flights</t>
  </si>
  <si>
    <t>DISTANCE</t>
  </si>
  <si>
    <t>Distance</t>
  </si>
  <si>
    <t>au</t>
  </si>
  <si>
    <t>light min</t>
  </si>
  <si>
    <t>BURN</t>
  </si>
  <si>
    <t>Accel, a</t>
  </si>
  <si>
    <t>g</t>
  </si>
  <si>
    <t>CALCULATIONS</t>
  </si>
  <si>
    <t>m</t>
  </si>
  <si>
    <t>Accel</t>
  </si>
  <si>
    <t>m s^-2</t>
  </si>
  <si>
    <t>Taccel</t>
  </si>
  <si>
    <t>s</t>
  </si>
  <si>
    <t>DeltaV</t>
  </si>
  <si>
    <t>m s^-1</t>
  </si>
  <si>
    <t>au day^-1</t>
  </si>
  <si>
    <t>S/a</t>
  </si>
  <si>
    <t>s^2</t>
  </si>
  <si>
    <t>day^2</t>
  </si>
  <si>
    <t>Tcruise / tc</t>
  </si>
  <si>
    <t>TIMES</t>
  </si>
  <si>
    <t>Total, t</t>
  </si>
  <si>
    <t>days</t>
  </si>
  <si>
    <t>Tflip, tf</t>
  </si>
  <si>
    <t>PROPELLANT</t>
  </si>
  <si>
    <t>Propellant</t>
  </si>
  <si>
    <t>g days</t>
  </si>
  <si>
    <t>Fraction</t>
  </si>
  <si>
    <t>%</t>
  </si>
  <si>
    <t>SHIP PARAMETERS</t>
  </si>
  <si>
    <t>T</t>
  </si>
  <si>
    <t>TRAVEL TIME</t>
  </si>
  <si>
    <t>From</t>
  </si>
  <si>
    <t>Tycho</t>
  </si>
  <si>
    <t>To</t>
  </si>
  <si>
    <t>Jupiter</t>
  </si>
  <si>
    <t>Row</t>
  </si>
  <si>
    <t>Column</t>
  </si>
  <si>
    <t>Taccel, ta</t>
  </si>
  <si>
    <t>Time</t>
  </si>
  <si>
    <t>Tcruise, tc</t>
  </si>
  <si>
    <t>hours</t>
  </si>
  <si>
    <t>TRAVEL TIME (GENERIC)</t>
  </si>
  <si>
    <t>Use for generic flights</t>
  </si>
  <si>
    <t>Brought to you by:</t>
  </si>
  <si>
    <t>Ian Hayward</t>
  </si>
  <si>
    <t>ian at andrea.co.uk</t>
  </si>
  <si>
    <t>See the Notes tab for details on how to use this spreadsheet.</t>
  </si>
  <si>
    <t>DISTANCES / au</t>
  </si>
  <si>
    <t>Sol</t>
  </si>
  <si>
    <t>Mercury</t>
  </si>
  <si>
    <t>Venus</t>
  </si>
  <si>
    <t>Earth</t>
  </si>
  <si>
    <t>Eros</t>
  </si>
  <si>
    <t>Mars</t>
  </si>
  <si>
    <t>Ceres</t>
  </si>
  <si>
    <t>Anderson</t>
  </si>
  <si>
    <t>Saturn</t>
  </si>
  <si>
    <t>Uranus</t>
  </si>
  <si>
    <t>Neptune</t>
  </si>
  <si>
    <t>Pluto</t>
  </si>
  <si>
    <t>COMMUNICATION TIMES (ONE-WAY) / min</t>
  </si>
</sst>
</file>

<file path=xl/styles.xml><?xml version="1.0" encoding="utf-8"?>
<styleSheet xmlns="http://schemas.openxmlformats.org/spreadsheetml/2006/main">
  <numFmts count="3">
    <numFmt numFmtId="0" formatCode="General"/>
    <numFmt numFmtId="59" formatCode="0.0"/>
    <numFmt numFmtId="60" formatCode="0.0E+00"/>
  </numFmts>
  <fonts count="7">
    <font>
      <sz val="10"/>
      <color indexed="8"/>
      <name val="Helvetica Neue"/>
    </font>
    <font>
      <sz val="12"/>
      <color indexed="8"/>
      <name val="Helvetica Neue"/>
    </font>
    <font>
      <b val="1"/>
      <sz val="14"/>
      <color indexed="9"/>
      <name val="Helvetica Neue"/>
    </font>
    <font>
      <sz val="10"/>
      <color indexed="9"/>
      <name val="DIN Alternate Bold"/>
    </font>
    <font>
      <sz val="10"/>
      <color indexed="8"/>
      <name val="DIN Alternate Bold"/>
    </font>
    <font>
      <u val="single"/>
      <sz val="10"/>
      <color indexed="8"/>
      <name val="DIN Alternate Bold"/>
    </font>
    <font>
      <sz val="10"/>
      <color indexed="13"/>
      <name val="DIN Alternate Bold"/>
    </font>
  </fonts>
  <fills count="6">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8"/>
        <bgColor auto="1"/>
      </patternFill>
    </fill>
    <fill>
      <patternFill patternType="solid">
        <fgColor indexed="15"/>
        <bgColor auto="1"/>
      </patternFill>
    </fill>
  </fills>
  <borders count="36">
    <border>
      <left/>
      <right/>
      <top/>
      <bottom/>
      <diagonal/>
    </border>
    <border>
      <left style="medium">
        <color indexed="10"/>
      </left>
      <right style="thin">
        <color indexed="11"/>
      </right>
      <top style="medium">
        <color indexed="10"/>
      </top>
      <bottom/>
      <diagonal/>
    </border>
    <border>
      <left style="thin">
        <color indexed="11"/>
      </left>
      <right style="medium">
        <color indexed="10"/>
      </right>
      <top style="medium">
        <color indexed="10"/>
      </top>
      <bottom/>
      <diagonal/>
    </border>
    <border>
      <left style="medium">
        <color indexed="10"/>
      </left>
      <right style="thin">
        <color indexed="11"/>
      </right>
      <top/>
      <bottom/>
      <diagonal/>
    </border>
    <border>
      <left style="thin">
        <color indexed="11"/>
      </left>
      <right style="medium">
        <color indexed="10"/>
      </right>
      <top/>
      <bottom/>
      <diagonal/>
    </border>
    <border>
      <left style="medium">
        <color indexed="10"/>
      </left>
      <right style="thin">
        <color indexed="11"/>
      </right>
      <top/>
      <bottom style="medium">
        <color indexed="10"/>
      </bottom>
      <diagonal/>
    </border>
    <border>
      <left style="thin">
        <color indexed="11"/>
      </left>
      <right style="medium">
        <color indexed="10"/>
      </right>
      <top/>
      <bottom style="medium">
        <color indexed="10"/>
      </bottom>
      <diagonal/>
    </border>
    <border>
      <left style="thin">
        <color indexed="11"/>
      </left>
      <right style="thin">
        <color indexed="11"/>
      </right>
      <top style="medium">
        <color indexed="10"/>
      </top>
      <bottom/>
      <diagonal/>
    </border>
    <border>
      <left style="thin">
        <color indexed="11"/>
      </left>
      <right style="thin">
        <color indexed="11"/>
      </right>
      <top/>
      <bottom/>
      <diagonal/>
    </border>
    <border>
      <left style="thin">
        <color indexed="11"/>
      </left>
      <right style="thin">
        <color indexed="11"/>
      </right>
      <top/>
      <bottom style="medium">
        <color indexed="10"/>
      </bottom>
      <diagonal/>
    </border>
    <border>
      <left style="medium">
        <color indexed="16"/>
      </left>
      <right style="thin">
        <color indexed="11"/>
      </right>
      <top style="medium">
        <color indexed="16"/>
      </top>
      <bottom/>
      <diagonal/>
    </border>
    <border>
      <left style="thin">
        <color indexed="11"/>
      </left>
      <right style="thin">
        <color indexed="11"/>
      </right>
      <top style="medium">
        <color indexed="16"/>
      </top>
      <bottom/>
      <diagonal/>
    </border>
    <border>
      <left style="thin">
        <color indexed="11"/>
      </left>
      <right style="medium">
        <color indexed="16"/>
      </right>
      <top style="medium">
        <color indexed="16"/>
      </top>
      <bottom/>
      <diagonal/>
    </border>
    <border>
      <left style="medium">
        <color indexed="16"/>
      </left>
      <right style="thin">
        <color indexed="11"/>
      </right>
      <top/>
      <bottom/>
      <diagonal/>
    </border>
    <border>
      <left style="thin">
        <color indexed="11"/>
      </left>
      <right style="medium">
        <color indexed="16"/>
      </right>
      <top/>
      <bottom/>
      <diagonal/>
    </border>
    <border>
      <left style="medium">
        <color indexed="16"/>
      </left>
      <right style="thin">
        <color indexed="11"/>
      </right>
      <top/>
      <bottom style="medium">
        <color indexed="16"/>
      </bottom>
      <diagonal/>
    </border>
    <border>
      <left style="thin">
        <color indexed="11"/>
      </left>
      <right style="thin">
        <color indexed="11"/>
      </right>
      <top/>
      <bottom style="medium">
        <color indexed="16"/>
      </bottom>
      <diagonal/>
    </border>
    <border>
      <left style="thin">
        <color indexed="11"/>
      </left>
      <right style="medium">
        <color indexed="16"/>
      </right>
      <top/>
      <bottom style="medium">
        <color indexed="16"/>
      </bottom>
      <diagonal/>
    </border>
    <border>
      <left style="medium">
        <color indexed="17"/>
      </left>
      <right style="thin">
        <color indexed="11"/>
      </right>
      <top style="medium">
        <color indexed="17"/>
      </top>
      <bottom/>
      <diagonal/>
    </border>
    <border>
      <left style="thin">
        <color indexed="11"/>
      </left>
      <right style="thin">
        <color indexed="11"/>
      </right>
      <top style="medium">
        <color indexed="17"/>
      </top>
      <bottom/>
      <diagonal/>
    </border>
    <border>
      <left style="thin">
        <color indexed="11"/>
      </left>
      <right style="medium">
        <color indexed="17"/>
      </right>
      <top style="medium">
        <color indexed="17"/>
      </top>
      <bottom/>
      <diagonal/>
    </border>
    <border>
      <left style="medium">
        <color indexed="17"/>
      </left>
      <right style="thin">
        <color indexed="11"/>
      </right>
      <top/>
      <bottom/>
      <diagonal/>
    </border>
    <border>
      <left style="thin">
        <color indexed="11"/>
      </left>
      <right style="medium">
        <color indexed="17"/>
      </right>
      <top/>
      <bottom/>
      <diagonal/>
    </border>
    <border>
      <left style="medium">
        <color indexed="17"/>
      </left>
      <right style="thin">
        <color indexed="11"/>
      </right>
      <top/>
      <bottom style="medium">
        <color indexed="17"/>
      </bottom>
      <diagonal/>
    </border>
    <border>
      <left style="thin">
        <color indexed="11"/>
      </left>
      <right style="thin">
        <color indexed="11"/>
      </right>
      <top/>
      <bottom style="medium">
        <color indexed="17"/>
      </bottom>
      <diagonal/>
    </border>
    <border>
      <left style="thin">
        <color indexed="11"/>
      </left>
      <right style="medium">
        <color indexed="17"/>
      </right>
      <top/>
      <bottom style="medium">
        <color indexed="17"/>
      </bottom>
      <diagonal/>
    </border>
    <border>
      <left style="medium">
        <color indexed="16"/>
      </left>
      <right style="medium">
        <color indexed="16"/>
      </right>
      <top style="medium">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10"/>
      </left>
      <right>
        <color indexed="8"/>
      </right>
      <top style="medium">
        <color indexed="10"/>
      </top>
      <bottom style="medium">
        <color indexed="8"/>
      </bottom>
      <diagonal/>
    </border>
    <border>
      <left style="thin">
        <color indexed="11"/>
      </left>
      <right>
        <color indexed="8"/>
      </right>
      <top style="medium">
        <color indexed="10"/>
      </top>
      <bottom style="medium">
        <color indexed="8"/>
      </bottom>
      <diagonal/>
    </border>
    <border>
      <left>
        <color indexed="8"/>
      </left>
      <right>
        <color indexed="8"/>
      </right>
      <top style="medium">
        <color indexed="10"/>
      </top>
      <bottom style="medium">
        <color indexed="8"/>
      </bottom>
      <diagonal/>
    </border>
    <border>
      <left>
        <color indexed="8"/>
      </left>
      <right style="medium">
        <color indexed="10"/>
      </right>
      <top style="medium">
        <color indexed="10"/>
      </top>
      <bottom style="medium">
        <color indexed="8"/>
      </bottom>
      <diagonal/>
    </border>
    <border>
      <left style="medium">
        <color indexed="10"/>
      </left>
      <right style="thin">
        <color indexed="11"/>
      </right>
      <top style="medium">
        <color indexed="8"/>
      </top>
      <bottom/>
      <diagonal/>
    </border>
    <border>
      <left style="thin">
        <color indexed="11"/>
      </left>
      <right style="thin">
        <color indexed="11"/>
      </right>
      <top style="medium">
        <color indexed="8"/>
      </top>
      <bottom/>
      <diagonal/>
    </border>
    <border>
      <left style="thin">
        <color indexed="11"/>
      </left>
      <right style="medium">
        <color indexed="10"/>
      </right>
      <top style="medium">
        <color indexed="8"/>
      </top>
      <bottom/>
      <diagonal/>
    </border>
  </borders>
  <cellStyleXfs count="1">
    <xf numFmtId="0" fontId="0" applyNumberFormat="0" applyFont="1" applyFill="0" applyBorder="0" applyAlignment="1" applyProtection="0">
      <alignment vertical="top" wrapText="1"/>
    </xf>
  </cellStyleXfs>
  <cellXfs count="86">
    <xf numFmtId="0" fontId="0" applyNumberFormat="0" applyFont="1" applyFill="0" applyBorder="0" applyAlignment="1" applyProtection="0">
      <alignment vertical="top" wrapText="1"/>
    </xf>
    <xf numFmtId="0" fontId="0" applyNumberFormat="1" applyFont="1" applyFill="0" applyBorder="0" applyAlignment="1" applyProtection="0">
      <alignment horizontal="center" vertical="top" wrapText="1"/>
    </xf>
    <xf numFmtId="49" fontId="3" fillId="2" borderId="1" applyNumberFormat="1" applyFont="1" applyFill="1" applyBorder="1" applyAlignment="1" applyProtection="0">
      <alignment horizontal="left" vertical="top" wrapText="1"/>
    </xf>
    <xf numFmtId="0" fontId="0" borderId="2" applyNumberFormat="0" applyFont="1" applyFill="0" applyBorder="1" applyAlignment="1" applyProtection="0">
      <alignment horizontal="center" vertical="top" wrapText="1"/>
    </xf>
    <xf numFmtId="49" fontId="4" fillId="3" borderId="3" applyNumberFormat="1" applyFont="1" applyFill="1" applyBorder="1" applyAlignment="1" applyProtection="0">
      <alignment horizontal="left" vertical="top" wrapText="1"/>
    </xf>
    <xf numFmtId="49" fontId="4" fillId="3" borderId="4" applyNumberFormat="1" applyFont="1" applyFill="1" applyBorder="1" applyAlignment="1" applyProtection="0">
      <alignment horizontal="left" vertical="top" wrapText="1"/>
    </xf>
    <xf numFmtId="0" fontId="0" borderId="3" applyNumberFormat="0" applyFont="1" applyFill="0" applyBorder="1" applyAlignment="1" applyProtection="0">
      <alignment horizontal="center" vertical="top" wrapText="1"/>
    </xf>
    <xf numFmtId="49" fontId="4" borderId="4" applyNumberFormat="1" applyFont="1" applyFill="0" applyBorder="1" applyAlignment="1" applyProtection="0">
      <alignment horizontal="left" vertical="top" wrapText="1"/>
    </xf>
    <xf numFmtId="0" fontId="0" fillId="3" borderId="3" applyNumberFormat="0" applyFont="1" applyFill="1" applyBorder="1" applyAlignment="1" applyProtection="0">
      <alignment horizontal="center" vertical="top" wrapText="1"/>
    </xf>
    <xf numFmtId="49" fontId="4" borderId="3" applyNumberFormat="1" applyFont="1" applyFill="0" applyBorder="1" applyAlignment="1" applyProtection="0">
      <alignment horizontal="left" vertical="top" wrapText="1"/>
    </xf>
    <xf numFmtId="49" fontId="4" fillId="3" borderId="5" applyNumberFormat="1" applyFont="1" applyFill="1" applyBorder="1" applyAlignment="1" applyProtection="0">
      <alignment horizontal="left" vertical="top" wrapText="1"/>
    </xf>
    <xf numFmtId="49" fontId="4" fillId="3" borderId="6" applyNumberFormat="1" applyFont="1" applyFill="1" applyBorder="1" applyAlignment="1" applyProtection="0">
      <alignment horizontal="left" vertical="top" wrapText="1"/>
    </xf>
    <xf numFmtId="0" fontId="0" applyNumberFormat="1" applyFont="1" applyFill="0" applyBorder="0" applyAlignment="1" applyProtection="0">
      <alignment horizontal="center" vertical="top" wrapText="1"/>
    </xf>
    <xf numFmtId="0" fontId="0" borderId="7" applyNumberFormat="0" applyFont="1" applyFill="0" applyBorder="1" applyAlignment="1" applyProtection="0">
      <alignment horizontal="center" vertical="top" wrapText="1"/>
    </xf>
    <xf numFmtId="0" fontId="0" fillId="3" borderId="8" applyNumberFormat="0" applyFont="1" applyFill="1" applyBorder="1" applyAlignment="1" applyProtection="0">
      <alignment horizontal="center" vertical="top" wrapText="1"/>
    </xf>
    <xf numFmtId="0" fontId="0" fillId="3" borderId="4" applyNumberFormat="0" applyFont="1" applyFill="1" applyBorder="1" applyAlignment="1" applyProtection="0">
      <alignment horizontal="center" vertical="top" wrapText="1"/>
    </xf>
    <xf numFmtId="49" fontId="3" fillId="4" borderId="3" applyNumberFormat="1" applyFont="1" applyFill="1" applyBorder="1" applyAlignment="1" applyProtection="0">
      <alignment horizontal="left" vertical="top" wrapText="1"/>
    </xf>
    <xf numFmtId="0" fontId="0" borderId="8" applyNumberFormat="0" applyFont="1" applyFill="0" applyBorder="1" applyAlignment="1" applyProtection="0">
      <alignment horizontal="center" vertical="top" wrapText="1"/>
    </xf>
    <xf numFmtId="0" fontId="0" borderId="4" applyNumberFormat="0" applyFont="1" applyFill="0" applyBorder="1" applyAlignment="1" applyProtection="0">
      <alignment horizontal="center" vertical="top" wrapText="1"/>
    </xf>
    <xf numFmtId="49" fontId="4" fillId="3" borderId="3" applyNumberFormat="1" applyFont="1" applyFill="1" applyBorder="1" applyAlignment="1" applyProtection="0">
      <alignment horizontal="right" vertical="top" wrapText="1"/>
    </xf>
    <xf numFmtId="0" fontId="6" fillId="3" borderId="8" applyNumberFormat="1" applyFont="1" applyFill="1" applyBorder="1" applyAlignment="1" applyProtection="0">
      <alignment horizontal="center" vertical="top" wrapText="1"/>
    </xf>
    <xf numFmtId="49" fontId="4" borderId="3" applyNumberFormat="1" applyFont="1" applyFill="0" applyBorder="1" applyAlignment="1" applyProtection="0">
      <alignment horizontal="right" vertical="top" wrapText="1"/>
    </xf>
    <xf numFmtId="59" fontId="4" borderId="8" applyNumberFormat="1" applyFont="1" applyFill="0" applyBorder="1" applyAlignment="1" applyProtection="0">
      <alignment horizontal="center" vertical="top" wrapText="1"/>
    </xf>
    <xf numFmtId="59" fontId="6" borderId="8" applyNumberFormat="1" applyFont="1" applyFill="0" applyBorder="1" applyAlignment="1" applyProtection="0">
      <alignment horizontal="center" vertical="top" wrapText="1"/>
    </xf>
    <xf numFmtId="60" fontId="4" borderId="8" applyNumberFormat="1" applyFont="1" applyFill="0" applyBorder="1" applyAlignment="1" applyProtection="0">
      <alignment horizontal="center" vertical="top" wrapText="1"/>
    </xf>
    <xf numFmtId="59" fontId="4" fillId="3" borderId="8" applyNumberFormat="1" applyFont="1" applyFill="1" applyBorder="1" applyAlignment="1" applyProtection="0">
      <alignment horizontal="center" vertical="top" wrapText="1"/>
    </xf>
    <xf numFmtId="1" fontId="4" fillId="3" borderId="8" applyNumberFormat="1" applyFont="1" applyFill="1" applyBorder="1" applyAlignment="1" applyProtection="0">
      <alignment horizontal="center" vertical="top" wrapText="1"/>
    </xf>
    <xf numFmtId="60" fontId="4" fillId="3" borderId="8" applyNumberFormat="1" applyFont="1" applyFill="1" applyBorder="1" applyAlignment="1" applyProtection="0">
      <alignment horizontal="center" vertical="top" wrapText="1"/>
    </xf>
    <xf numFmtId="49" fontId="4" fillId="3" borderId="5" applyNumberFormat="1" applyFont="1" applyFill="1" applyBorder="1" applyAlignment="1" applyProtection="0">
      <alignment horizontal="right" vertical="top" wrapText="1"/>
    </xf>
    <xf numFmtId="1" fontId="4" fillId="3" borderId="9" applyNumberFormat="1" applyFont="1" applyFill="1" applyBorder="1" applyAlignment="1" applyProtection="0">
      <alignment horizontal="center" vertical="top" wrapText="1"/>
    </xf>
    <xf numFmtId="0" fontId="0" applyNumberFormat="1" applyFont="1" applyFill="0" applyBorder="0" applyAlignment="1" applyProtection="0">
      <alignment horizontal="center" vertical="top" wrapText="1"/>
    </xf>
    <xf numFmtId="49" fontId="3" fillId="2" borderId="10" applyNumberFormat="1" applyFont="1" applyFill="1" applyBorder="1" applyAlignment="1" applyProtection="0">
      <alignment horizontal="left" vertical="top" wrapText="1"/>
    </xf>
    <xf numFmtId="0" fontId="0" borderId="11" applyNumberFormat="0" applyFont="1" applyFill="0" applyBorder="1" applyAlignment="1" applyProtection="0">
      <alignment horizontal="center" vertical="top" wrapText="1"/>
    </xf>
    <xf numFmtId="0" fontId="0" borderId="12" applyNumberFormat="0" applyFont="1" applyFill="0" applyBorder="1" applyAlignment="1" applyProtection="0">
      <alignment horizontal="center" vertical="top" wrapText="1"/>
    </xf>
    <xf numFmtId="49" fontId="4" fillId="3" borderId="13" applyNumberFormat="1" applyFont="1" applyFill="1" applyBorder="1" applyAlignment="1" applyProtection="0">
      <alignment horizontal="right" vertical="top" wrapText="1"/>
    </xf>
    <xf numFmtId="59" fontId="6" fillId="3" borderId="8" applyNumberFormat="1" applyFont="1" applyFill="1" applyBorder="1" applyAlignment="1" applyProtection="0">
      <alignment horizontal="center" vertical="top" wrapText="1"/>
    </xf>
    <xf numFmtId="49" fontId="4" fillId="3" borderId="14" applyNumberFormat="1" applyFont="1" applyFill="1" applyBorder="1" applyAlignment="1" applyProtection="0">
      <alignment horizontal="left" vertical="top" wrapText="1"/>
    </xf>
    <xf numFmtId="49" fontId="4" borderId="13" applyNumberFormat="1" applyFont="1" applyFill="0" applyBorder="1" applyAlignment="1" applyProtection="0">
      <alignment horizontal="right" vertical="top" wrapText="1"/>
    </xf>
    <xf numFmtId="49" fontId="4" borderId="14" applyNumberFormat="1" applyFont="1" applyFill="0" applyBorder="1" applyAlignment="1" applyProtection="0">
      <alignment horizontal="left" vertical="top" wrapText="1"/>
    </xf>
    <xf numFmtId="49" fontId="4" fillId="3" borderId="15" applyNumberFormat="1" applyFont="1" applyFill="1" applyBorder="1" applyAlignment="1" applyProtection="0">
      <alignment horizontal="right" vertical="top" wrapText="1"/>
    </xf>
    <xf numFmtId="59" fontId="4" fillId="3" borderId="16" applyNumberFormat="1" applyFont="1" applyFill="1" applyBorder="1" applyAlignment="1" applyProtection="0">
      <alignment horizontal="center" vertical="top" wrapText="1"/>
    </xf>
    <xf numFmtId="49" fontId="4" fillId="3" borderId="17" applyNumberFormat="1" applyFont="1" applyFill="1" applyBorder="1" applyAlignment="1" applyProtection="0">
      <alignment horizontal="left" vertical="top" wrapText="1"/>
    </xf>
    <xf numFmtId="0" fontId="0" applyNumberFormat="1" applyFont="1" applyFill="0" applyBorder="0" applyAlignment="1" applyProtection="0">
      <alignment horizontal="center" vertical="top" wrapText="1"/>
    </xf>
    <xf numFmtId="49" fontId="3" fillId="2" borderId="18" applyNumberFormat="1" applyFont="1" applyFill="1" applyBorder="1" applyAlignment="1" applyProtection="0">
      <alignment horizontal="left" vertical="top" wrapText="1"/>
    </xf>
    <xf numFmtId="0" fontId="0" borderId="19" applyNumberFormat="0" applyFont="1" applyFill="0" applyBorder="1" applyAlignment="1" applyProtection="0">
      <alignment horizontal="center" vertical="top" wrapText="1"/>
    </xf>
    <xf numFmtId="0" fontId="0" borderId="20" applyNumberFormat="0" applyFont="1" applyFill="0" applyBorder="1" applyAlignment="1" applyProtection="0">
      <alignment horizontal="center" vertical="top" wrapText="1"/>
    </xf>
    <xf numFmtId="49" fontId="3" fillId="4" borderId="21" applyNumberFormat="1" applyFont="1" applyFill="1" applyBorder="1" applyAlignment="1" applyProtection="0">
      <alignment horizontal="left" vertical="top" wrapText="1"/>
    </xf>
    <xf numFmtId="0" fontId="0" fillId="3" borderId="22" applyNumberFormat="0" applyFont="1" applyFill="1" applyBorder="1" applyAlignment="1" applyProtection="0">
      <alignment horizontal="center" vertical="top" wrapText="1"/>
    </xf>
    <xf numFmtId="49" fontId="4" borderId="21" applyNumberFormat="1" applyFont="1" applyFill="0" applyBorder="1" applyAlignment="1" applyProtection="0">
      <alignment horizontal="right" vertical="top" wrapText="1"/>
    </xf>
    <xf numFmtId="49" fontId="6" borderId="8" applyNumberFormat="1" applyFont="1" applyFill="0" applyBorder="1" applyAlignment="1" applyProtection="0">
      <alignment horizontal="left" vertical="top" wrapText="1"/>
    </xf>
    <xf numFmtId="0" fontId="0" borderId="22" applyNumberFormat="0" applyFont="1" applyFill="0" applyBorder="1" applyAlignment="1" applyProtection="0">
      <alignment horizontal="center" vertical="top" wrapText="1"/>
    </xf>
    <xf numFmtId="49" fontId="4" fillId="3" borderId="21" applyNumberFormat="1" applyFont="1" applyFill="1" applyBorder="1" applyAlignment="1" applyProtection="0">
      <alignment horizontal="right" vertical="top" wrapText="1"/>
    </xf>
    <xf numFmtId="49" fontId="6" fillId="3" borderId="8" applyNumberFormat="1" applyFont="1" applyFill="1" applyBorder="1" applyAlignment="1" applyProtection="0">
      <alignment horizontal="left" vertical="top" wrapText="1"/>
    </xf>
    <xf numFmtId="49" fontId="0" borderId="21" applyNumberFormat="1" applyFont="1" applyFill="0" applyBorder="1" applyAlignment="1" applyProtection="0">
      <alignment horizontal="center" vertical="top" wrapText="1"/>
    </xf>
    <xf numFmtId="0" fontId="0" borderId="8" applyNumberFormat="1" applyFont="1" applyFill="0" applyBorder="1" applyAlignment="1" applyProtection="0">
      <alignment horizontal="center" vertical="top" wrapText="1"/>
    </xf>
    <xf numFmtId="49" fontId="0" fillId="3" borderId="21" applyNumberFormat="1" applyFont="1" applyFill="1" applyBorder="1" applyAlignment="1" applyProtection="0">
      <alignment horizontal="center" vertical="top" wrapText="1"/>
    </xf>
    <xf numFmtId="0" fontId="0" fillId="3" borderId="8" applyNumberFormat="1" applyFont="1" applyFill="1" applyBorder="1" applyAlignment="1" applyProtection="0">
      <alignment horizontal="center" vertical="top" wrapText="1"/>
    </xf>
    <xf numFmtId="49" fontId="4" borderId="22" applyNumberFormat="1" applyFont="1" applyFill="0" applyBorder="1" applyAlignment="1" applyProtection="0">
      <alignment horizontal="left" vertical="top" wrapText="1"/>
    </xf>
    <xf numFmtId="49" fontId="4" fillId="3" borderId="22" applyNumberFormat="1" applyFont="1" applyFill="1" applyBorder="1" applyAlignment="1" applyProtection="0">
      <alignment horizontal="left" vertical="top" wrapText="1"/>
    </xf>
    <xf numFmtId="49" fontId="4" borderId="23" applyNumberFormat="1" applyFont="1" applyFill="0" applyBorder="1" applyAlignment="1" applyProtection="0">
      <alignment horizontal="right" vertical="top" wrapText="1"/>
    </xf>
    <xf numFmtId="1" fontId="4" borderId="24" applyNumberFormat="1" applyFont="1" applyFill="0" applyBorder="1" applyAlignment="1" applyProtection="0">
      <alignment horizontal="center" vertical="top" wrapText="1"/>
    </xf>
    <xf numFmtId="49" fontId="4" borderId="25" applyNumberFormat="1" applyFont="1" applyFill="0" applyBorder="1" applyAlignment="1" applyProtection="0">
      <alignment horizontal="left" vertical="top" wrapText="1"/>
    </xf>
    <xf numFmtId="0" fontId="0" applyNumberFormat="1" applyFont="1" applyFill="0" applyBorder="0" applyAlignment="1" applyProtection="0">
      <alignment horizontal="center" vertical="top" wrapText="1"/>
    </xf>
    <xf numFmtId="1" fontId="4" borderId="8" applyNumberFormat="1" applyFont="1" applyFill="0" applyBorder="1" applyAlignment="1" applyProtection="0">
      <alignment horizontal="center" vertical="top" wrapText="1"/>
    </xf>
    <xf numFmtId="0" fontId="0" applyNumberFormat="1" applyFont="1" applyFill="0" applyBorder="0" applyAlignment="1" applyProtection="0">
      <alignment horizontal="center" vertical="top" wrapText="1"/>
    </xf>
    <xf numFmtId="49" fontId="3" fillId="2" borderId="26" applyNumberFormat="1" applyFont="1" applyFill="1" applyBorder="1" applyAlignment="1" applyProtection="0">
      <alignment horizontal="left" vertical="top" wrapText="1"/>
    </xf>
    <xf numFmtId="49" fontId="4" fillId="3" borderId="27" applyNumberFormat="1" applyFont="1" applyFill="1" applyBorder="1" applyAlignment="1" applyProtection="0">
      <alignment horizontal="left" vertical="top" wrapText="1"/>
    </xf>
    <xf numFmtId="49" fontId="4" borderId="27" applyNumberFormat="1" applyFont="1" applyFill="0" applyBorder="1" applyAlignment="1" applyProtection="0">
      <alignment horizontal="left" vertical="top" wrapText="1"/>
    </xf>
    <xf numFmtId="49" fontId="3" fillId="5" borderId="28" applyNumberFormat="1" applyFont="1" applyFill="1" applyBorder="1" applyAlignment="1" applyProtection="0">
      <alignment horizontal="left" vertical="top" wrapText="1"/>
    </xf>
    <xf numFmtId="0" fontId="0" applyNumberFormat="1" applyFont="1" applyFill="0" applyBorder="0" applyAlignment="1" applyProtection="0">
      <alignment horizontal="center" vertical="top" wrapText="1"/>
    </xf>
    <xf numFmtId="49" fontId="3" fillId="2" borderId="29" applyNumberFormat="1" applyFont="1" applyFill="1" applyBorder="1" applyAlignment="1" applyProtection="0">
      <alignment horizontal="left" vertical="top"/>
    </xf>
    <xf numFmtId="0" fontId="0" fillId="2" borderId="30" applyNumberFormat="0" applyFont="1" applyFill="1" applyBorder="1" applyAlignment="1" applyProtection="0">
      <alignment horizontal="center" vertical="top" wrapText="1"/>
    </xf>
    <xf numFmtId="0" fontId="4" fillId="2" borderId="31" applyNumberFormat="0" applyFont="1" applyFill="1" applyBorder="1" applyAlignment="1" applyProtection="0">
      <alignment horizontal="center" vertical="top" wrapText="1"/>
    </xf>
    <xf numFmtId="0" fontId="4" fillId="2" borderId="32" applyNumberFormat="0" applyFont="1" applyFill="1" applyBorder="1" applyAlignment="1" applyProtection="0">
      <alignment horizontal="center" vertical="top" wrapText="1"/>
    </xf>
    <xf numFmtId="0" fontId="4" borderId="33" applyNumberFormat="0" applyFont="1" applyFill="0" applyBorder="1" applyAlignment="1" applyProtection="0">
      <alignment horizontal="center" vertical="top" wrapText="1"/>
    </xf>
    <xf numFmtId="0" fontId="0" borderId="34" applyNumberFormat="0" applyFont="1" applyFill="0" applyBorder="1" applyAlignment="1" applyProtection="0">
      <alignment horizontal="center" vertical="top" wrapText="1"/>
    </xf>
    <xf numFmtId="49" fontId="4" borderId="34" applyNumberFormat="1" applyFont="1" applyFill="0" applyBorder="1" applyAlignment="1" applyProtection="0">
      <alignment horizontal="center" vertical="top" wrapText="1"/>
    </xf>
    <xf numFmtId="49" fontId="4" borderId="35" applyNumberFormat="1" applyFont="1" applyFill="0" applyBorder="1" applyAlignment="1" applyProtection="0">
      <alignment horizontal="center" vertical="top" wrapText="1"/>
    </xf>
    <xf numFmtId="1" fontId="0" fillId="3" borderId="4" applyNumberFormat="1" applyFont="1" applyFill="1" applyBorder="1" applyAlignment="1" applyProtection="0">
      <alignment horizontal="center" vertical="top" wrapText="1"/>
    </xf>
    <xf numFmtId="59" fontId="4" borderId="4" applyNumberFormat="1" applyFont="1" applyFill="0" applyBorder="1" applyAlignment="1" applyProtection="0">
      <alignment horizontal="center" vertical="top" wrapText="1"/>
    </xf>
    <xf numFmtId="59" fontId="0" fillId="3" borderId="8" applyNumberFormat="1" applyFont="1" applyFill="1" applyBorder="1" applyAlignment="1" applyProtection="0">
      <alignment horizontal="center" vertical="top" wrapText="1"/>
    </xf>
    <xf numFmtId="59" fontId="4" fillId="3" borderId="4" applyNumberFormat="1" applyFont="1" applyFill="1" applyBorder="1" applyAlignment="1" applyProtection="0">
      <alignment horizontal="center" vertical="top" wrapText="1"/>
    </xf>
    <xf numFmtId="59" fontId="0" fillId="3" borderId="9" applyNumberFormat="1" applyFont="1" applyFill="1" applyBorder="1" applyAlignment="1" applyProtection="0">
      <alignment horizontal="center" vertical="top" wrapText="1"/>
    </xf>
    <xf numFmtId="59" fontId="4" fillId="3" borderId="9" applyNumberFormat="1" applyFont="1" applyFill="1" applyBorder="1" applyAlignment="1" applyProtection="0">
      <alignment horizontal="center" vertical="top" wrapText="1"/>
    </xf>
    <xf numFmtId="59" fontId="4" fillId="3" borderId="6" applyNumberFormat="1" applyFont="1" applyFill="1" applyBorder="1" applyAlignment="1" applyProtection="0">
      <alignment horizontal="center" vertical="top" wrapText="1"/>
    </xf>
    <xf numFmtId="0" fontId="0" applyNumberFormat="1" applyFont="1" applyFill="0" applyBorder="0" applyAlignment="1" applyProtection="0">
      <alignment horizontal="center" vertical="top" wrapText="1"/>
    </xf>
  </cellXfs>
  <cellStyles count="1">
    <cellStyle name="Normal" xfId="0" builtinId="0"/>
  </cellStyles>
  <dxfs count="6">
    <dxf>
      <font>
        <color rgb="fffeffff"/>
      </font>
      <fill>
        <patternFill patternType="solid">
          <fgColor indexed="14"/>
          <bgColor indexed="15"/>
        </patternFill>
      </fill>
    </dxf>
    <dxf>
      <font>
        <color rgb="fffeffff"/>
      </font>
      <fill>
        <patternFill patternType="solid">
          <fgColor indexed="14"/>
          <bgColor indexed="15"/>
        </patternFill>
      </fill>
    </dxf>
    <dxf>
      <font>
        <color rgb="fffeffff"/>
      </font>
      <fill>
        <patternFill patternType="solid">
          <fgColor indexed="14"/>
          <bgColor indexed="15"/>
        </patternFill>
      </fill>
    </dxf>
    <dxf>
      <font>
        <color rgb="fffeffff"/>
      </font>
      <fill>
        <patternFill patternType="solid">
          <fgColor indexed="14"/>
          <bgColor indexed="15"/>
        </patternFill>
      </fill>
    </dxf>
    <dxf>
      <font>
        <color rgb="fffeffff"/>
      </font>
      <fill>
        <patternFill patternType="solid">
          <fgColor indexed="14"/>
          <bgColor indexed="15"/>
        </patternFill>
      </fill>
    </dxf>
    <dxf>
      <font>
        <color rgb="fffeffff"/>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feffff"/>
      <rgbColor rgb="ff004456"/>
      <rgbColor rgb="ffa5a5a5"/>
      <rgbColor rgb="ffb9ccd2"/>
      <rgbColor rgb="ffff2600"/>
      <rgbColor rgb="00000000"/>
      <rgbColor rgb="ffed220b"/>
      <rgbColor rgb="ff004457"/>
      <rgbColor rgb="ff00445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physicstoday.scitation.org/do/10.1063/PT.6.3.20190312a/full/" TargetMode="External"/><Relationship Id="rId2" Type="http://schemas.openxmlformats.org/officeDocument/2006/relationships/hyperlink" Target="https://keisan.casio.com/exec/system/1180573458" TargetMode="External"/><Relationship Id="rId3" Type="http://schemas.openxmlformats.org/officeDocument/2006/relationships/hyperlink" Target="https://www.wolframalpha.com/input/?i=+distance+from+earth+to+mars+15%2F8%2F2215" TargetMode="External"/><Relationship Id="rId4" Type="http://schemas.openxmlformats.org/officeDocument/2006/relationships/hyperlink" Target="https://scifi.stackexchange.com/questions/156761/when-does-the-expanse-take-place" TargetMode="External"/><Relationship Id="rId5" Type="http://schemas.openxmlformats.org/officeDocument/2006/relationships/hyperlink" Target="https://physicstoday.scitation.org/do/10.1063/PT.6.3.20190312a/full/" TargetMode="External"/><Relationship Id="rId6" Type="http://schemas.openxmlformats.org/officeDocument/2006/relationships/hyperlink" Target="https://www.wolframalpha.com/input/?i=+distance+from+neptune+to+pluto+01%2F07%2F2350" TargetMode="External"/><Relationship Id="rId7" Type="http://schemas.openxmlformats.org/officeDocument/2006/relationships/hyperlink" Target="http://iandrea.co.uk"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B24"/>
  <sheetViews>
    <sheetView workbookViewId="0" showGridLines="0" defaultGridColor="1"/>
  </sheetViews>
  <sheetFormatPr defaultColWidth="16.3333" defaultRowHeight="19.9" customHeight="1" outlineLevelRow="0" outlineLevelCol="0"/>
  <cols>
    <col min="1" max="1" width="16.1094" style="1" customWidth="1"/>
    <col min="2" max="2" width="99.6953" style="1" customWidth="1"/>
    <col min="3" max="16384" width="16.3516" style="1" customWidth="1"/>
  </cols>
  <sheetData>
    <row r="1" ht="20" customHeight="1">
      <c r="A1" t="s" s="2">
        <v>0</v>
      </c>
      <c r="B1" s="3"/>
    </row>
    <row r="2" ht="30" customHeight="1">
      <c r="A2" t="s" s="4">
        <v>1</v>
      </c>
      <c r="B2" t="s" s="5">
        <v>2</v>
      </c>
    </row>
    <row r="3" ht="30" customHeight="1">
      <c r="A3" s="6"/>
      <c r="B3" t="s" s="7">
        <v>3</v>
      </c>
    </row>
    <row r="4" ht="19" customHeight="1">
      <c r="A4" s="8"/>
      <c r="B4" t="s" s="5">
        <v>4</v>
      </c>
    </row>
    <row r="5" ht="30" customHeight="1">
      <c r="A5" s="6"/>
      <c r="B5" t="s" s="7">
        <v>5</v>
      </c>
    </row>
    <row r="6" ht="30" customHeight="1">
      <c r="A6" s="8"/>
      <c r="B6" t="s" s="5">
        <v>6</v>
      </c>
    </row>
    <row r="7" ht="30" customHeight="1">
      <c r="A7" t="s" s="9">
        <v>7</v>
      </c>
      <c r="B7" t="s" s="7">
        <v>8</v>
      </c>
    </row>
    <row r="8" ht="41" customHeight="1">
      <c r="A8" t="s" s="4">
        <v>9</v>
      </c>
      <c r="B8" t="s" s="5">
        <v>10</v>
      </c>
    </row>
    <row r="9" ht="74" customHeight="1">
      <c r="A9" t="s" s="9">
        <v>11</v>
      </c>
      <c r="B9" t="s" s="7">
        <v>12</v>
      </c>
    </row>
    <row r="10" ht="41" customHeight="1">
      <c r="A10" t="s" s="4">
        <v>13</v>
      </c>
      <c r="B10" t="s" s="5">
        <v>14</v>
      </c>
    </row>
    <row r="11" ht="41" customHeight="1">
      <c r="A11" t="s" s="9">
        <v>15</v>
      </c>
      <c r="B11" t="s" s="7">
        <v>16</v>
      </c>
    </row>
    <row r="12" ht="63" customHeight="1">
      <c r="A12" t="s" s="4">
        <v>17</v>
      </c>
      <c r="B12" t="s" s="5">
        <v>18</v>
      </c>
    </row>
    <row r="13" ht="30" customHeight="1">
      <c r="A13" t="s" s="9">
        <v>19</v>
      </c>
      <c r="B13" t="s" s="7">
        <v>20</v>
      </c>
    </row>
    <row r="14" ht="30" customHeight="1">
      <c r="A14" t="s" s="4">
        <v>21</v>
      </c>
      <c r="B14" t="s" s="5">
        <v>22</v>
      </c>
    </row>
    <row r="15" ht="41" customHeight="1">
      <c r="A15" t="s" s="9">
        <v>23</v>
      </c>
      <c r="B15" t="s" s="7">
        <v>24</v>
      </c>
    </row>
    <row r="16" ht="30" customHeight="1">
      <c r="A16" s="8"/>
      <c r="B16" t="s" s="5">
        <v>25</v>
      </c>
    </row>
    <row r="17" ht="30" customHeight="1">
      <c r="A17" s="6"/>
      <c r="B17" t="s" s="7">
        <v>26</v>
      </c>
    </row>
    <row r="18" ht="74" customHeight="1">
      <c r="A18" t="s" s="4">
        <v>27</v>
      </c>
      <c r="B18" t="s" s="5">
        <v>28</v>
      </c>
    </row>
    <row r="19" ht="74" customHeight="1">
      <c r="A19" s="6"/>
      <c r="B19" t="s" s="7">
        <v>29</v>
      </c>
    </row>
    <row r="20" ht="41" customHeight="1">
      <c r="A20" s="8"/>
      <c r="B20" t="s" s="5">
        <v>30</v>
      </c>
    </row>
    <row r="21" ht="30" customHeight="1">
      <c r="A21" t="s" s="9">
        <v>31</v>
      </c>
      <c r="B21" t="s" s="7">
        <v>32</v>
      </c>
    </row>
    <row r="22" ht="19" customHeight="1">
      <c r="A22" t="s" s="4">
        <v>33</v>
      </c>
      <c r="B22" t="s" s="5">
        <v>34</v>
      </c>
    </row>
    <row r="23" ht="30" customHeight="1">
      <c r="A23" t="s" s="9">
        <v>35</v>
      </c>
      <c r="B23" t="s" s="7">
        <v>36</v>
      </c>
    </row>
    <row r="24" ht="20" customHeight="1">
      <c r="A24" t="s" s="10">
        <v>37</v>
      </c>
      <c r="B24" t="s" s="11">
        <v>38</v>
      </c>
    </row>
  </sheetData>
  <mergeCells count="4">
    <mergeCell ref="A1:B1"/>
    <mergeCell ref="A2:A6"/>
    <mergeCell ref="A15:A17"/>
    <mergeCell ref="A18:A20"/>
  </mergeCells>
  <hyperlinks>
    <hyperlink ref="B2" r:id="rId1" location="" tooltip="" display="https://physicstoday.scitation.org/do/10.1063/PT.6.3.20190312a/full/"/>
    <hyperlink ref="B4" r:id="rId2" location="" tooltip="" display="https://keisan.casio.com/exec/system/1180573458"/>
    <hyperlink ref="B5" r:id="rId3" location="" tooltip="" display="https://www.wolframalpha.com/input/?i=+distance+from+earth+to+mars+15%2F8%2F2215"/>
    <hyperlink ref="B6" r:id="rId4" location="" tooltip="" display="https://scifi.stackexchange.com/questions/156761/when-does-the-expanse-take-place"/>
    <hyperlink ref="B15" r:id="rId5" location="" tooltip="" display="https://physicstoday.scitation.org/do/10.1063/PT.6.3.20190312a/full/"/>
    <hyperlink ref="B17" r:id="rId6" location="" tooltip="" display="https://www.wolframalpha.com/input/?i=+distance+from+neptune+to+pluto+01%2F07%2F2350"/>
    <hyperlink ref="B23" r:id="rId7" location="" tooltip="" display="iandrea.co.uk"/>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B1:AT121"/>
  <sheetViews>
    <sheetView workbookViewId="0" showGridLines="0" defaultGridColor="1"/>
  </sheetViews>
  <sheetFormatPr defaultColWidth="16.3333" defaultRowHeight="19.9" customHeight="1" outlineLevelRow="0" outlineLevelCol="0"/>
  <cols>
    <col min="1" max="1" width="66.1719" style="12" customWidth="1"/>
    <col min="2" max="2" width="12.1719" style="12" customWidth="1"/>
    <col min="3" max="3" width="4.35156" style="12" customWidth="1"/>
    <col min="4" max="4" width="7.85156" style="12" customWidth="1"/>
    <col min="5" max="5" width="13.2656" style="30" customWidth="1"/>
    <col min="6" max="6" width="5.35156" style="30" customWidth="1"/>
    <col min="7" max="7" width="9.04688" style="30" customWidth="1"/>
    <col min="8" max="8" width="13.9531" style="42" customWidth="1"/>
    <col min="9" max="9" width="4.85156" style="42" customWidth="1"/>
    <col min="10" max="10" width="9.40625" style="42" customWidth="1"/>
    <col min="11" max="11" width="12.1719" style="62" customWidth="1"/>
    <col min="12" max="12" width="4.35156" style="62" customWidth="1"/>
    <col min="13" max="13" width="7.85156" style="62" customWidth="1"/>
    <col min="14" max="14" width="27.9844" style="64" customWidth="1"/>
    <col min="15" max="15" width="9.17188" style="69" customWidth="1"/>
    <col min="16" max="16" hidden="1" width="16.3333" style="69" customWidth="1"/>
    <col min="17" max="17" width="4.67188" style="69" customWidth="1"/>
    <col min="18" max="18" width="7.5" style="69" customWidth="1"/>
    <col min="19" max="19" width="6" style="69" customWidth="1"/>
    <col min="20" max="20" width="5.35156" style="69" customWidth="1"/>
    <col min="21" max="21" width="4.85156" style="69" customWidth="1"/>
    <col min="22" max="22" width="5.17188" style="69" customWidth="1"/>
    <col min="23" max="24" width="5.85156" style="69" customWidth="1"/>
    <col min="25" max="25" width="8.67188" style="69" customWidth="1"/>
    <col min="26" max="26" width="6.67188" style="69" customWidth="1"/>
    <col min="27" max="27" width="6.35156" style="69" customWidth="1"/>
    <col min="28" max="28" width="6.85156" style="69" customWidth="1"/>
    <col min="29" max="29" width="7.85156" style="69" customWidth="1"/>
    <col min="30" max="30" width="5.5" style="69" customWidth="1"/>
    <col min="31" max="31" width="9.17188" style="85" customWidth="1"/>
    <col min="32" max="32" hidden="1" width="16.3333" style="85" customWidth="1"/>
    <col min="33" max="33" width="4.67188" style="85" customWidth="1"/>
    <col min="34" max="34" width="7.5" style="85" customWidth="1"/>
    <col min="35" max="35" width="6" style="85" customWidth="1"/>
    <col min="36" max="36" width="5.35156" style="85" customWidth="1"/>
    <col min="37" max="37" width="4.85156" style="85" customWidth="1"/>
    <col min="38" max="38" width="5.17188" style="85" customWidth="1"/>
    <col min="39" max="40" width="5.85156" style="85" customWidth="1"/>
    <col min="41" max="41" width="8.67188" style="85" customWidth="1"/>
    <col min="42" max="42" width="6.67188" style="85" customWidth="1"/>
    <col min="43" max="43" width="6.35156" style="85" customWidth="1"/>
    <col min="44" max="44" width="6.85156" style="85" customWidth="1"/>
    <col min="45" max="45" width="7.85156" style="85" customWidth="1"/>
    <col min="46" max="46" width="5.5" style="85" customWidth="1"/>
    <col min="47" max="16384" width="16.3516" style="85" customWidth="1"/>
  </cols>
  <sheetData>
    <row r="1" ht="20" customHeight="1">
      <c r="B1" t="s" s="2">
        <v>39</v>
      </c>
      <c r="C1" s="13"/>
      <c r="D1" s="3"/>
    </row>
    <row r="2" ht="19" customHeight="1">
      <c r="B2" t="s" s="4">
        <v>40</v>
      </c>
      <c r="C2" s="14"/>
      <c r="D2" s="15"/>
    </row>
    <row r="3" ht="19" customHeight="1">
      <c r="B3" t="s" s="16">
        <v>41</v>
      </c>
      <c r="C3" s="17"/>
      <c r="D3" s="18"/>
    </row>
    <row r="4" ht="19" customHeight="1">
      <c r="B4" t="s" s="19">
        <v>42</v>
      </c>
      <c r="C4" s="20">
        <v>10</v>
      </c>
      <c r="D4" t="s" s="5">
        <v>43</v>
      </c>
    </row>
    <row r="5" ht="19" customHeight="1">
      <c r="B5" t="s" s="21">
        <v>42</v>
      </c>
      <c r="C5" s="22">
        <f>C4*"1.496E11"/"3E8"/60</f>
        <v>83.1111111111111</v>
      </c>
      <c r="D5" t="s" s="7">
        <v>44</v>
      </c>
    </row>
    <row r="6" ht="19" customHeight="1">
      <c r="B6" t="s" s="16">
        <v>45</v>
      </c>
      <c r="C6" s="14"/>
      <c r="D6" s="15"/>
    </row>
    <row r="7" ht="19" customHeight="1">
      <c r="B7" t="s" s="21">
        <v>46</v>
      </c>
      <c r="C7" s="23">
        <v>0.3</v>
      </c>
      <c r="D7" t="s" s="7">
        <v>47</v>
      </c>
    </row>
    <row r="8" ht="8" customHeight="1" hidden="1">
      <c r="B8" t="s" s="16">
        <v>48</v>
      </c>
      <c r="C8" s="14"/>
      <c r="D8" s="15"/>
    </row>
    <row r="9" ht="8" customHeight="1" hidden="1">
      <c r="B9" t="s" s="21">
        <v>42</v>
      </c>
      <c r="C9" s="24">
        <f>C4*"1.496E11"</f>
        <v>1496000000000</v>
      </c>
      <c r="D9" t="s" s="7">
        <v>49</v>
      </c>
    </row>
    <row r="10" ht="8" customHeight="1" hidden="1">
      <c r="B10" t="s" s="19">
        <v>50</v>
      </c>
      <c r="C10" s="25">
        <f>C7*9.81</f>
        <v>2.943</v>
      </c>
      <c r="D10" t="s" s="5">
        <v>51</v>
      </c>
    </row>
    <row r="11" ht="8" customHeight="1" hidden="1">
      <c r="B11" t="s" s="21">
        <v>52</v>
      </c>
      <c r="C11" s="24">
        <f>#REF!*24*60*60</f>
      </c>
      <c r="D11" t="s" s="7">
        <v>53</v>
      </c>
    </row>
    <row r="12" ht="8" customHeight="1" hidden="1">
      <c r="B12" t="s" s="19">
        <v>54</v>
      </c>
      <c r="C12" s="26">
        <f>2*C10*C11</f>
      </c>
      <c r="D12" t="s" s="5">
        <v>55</v>
      </c>
    </row>
    <row r="13" ht="8" customHeight="1" hidden="1">
      <c r="B13" t="s" s="21">
        <v>54</v>
      </c>
      <c r="C13" s="24">
        <f>C12/"1.496E11"*24*60*60</f>
      </c>
      <c r="D13" t="s" s="7">
        <v>56</v>
      </c>
    </row>
    <row r="14" ht="8" customHeight="1" hidden="1">
      <c r="B14" t="s" s="19">
        <v>57</v>
      </c>
      <c r="C14" s="27">
        <f>C9/C10</f>
        <v>508324838600.068</v>
      </c>
      <c r="D14" t="s" s="5">
        <v>58</v>
      </c>
    </row>
    <row r="15" ht="8" customHeight="1" hidden="1">
      <c r="B15" t="s" s="21">
        <v>57</v>
      </c>
      <c r="C15" s="24">
        <f>C14/(60*60*24)</f>
        <v>5883389.33564894</v>
      </c>
      <c r="D15" t="s" s="7">
        <v>59</v>
      </c>
    </row>
    <row r="16" ht="8" customHeight="1" hidden="1">
      <c r="B16" t="s" s="19">
        <v>60</v>
      </c>
      <c r="C16" s="27">
        <f>C14/C11-C11</f>
      </c>
      <c r="D16" t="s" s="5">
        <v>53</v>
      </c>
    </row>
    <row r="17" ht="19" customHeight="1">
      <c r="B17" t="s" s="16">
        <v>61</v>
      </c>
      <c r="C17" s="17"/>
      <c r="D17" s="18"/>
    </row>
    <row r="18" ht="19" customHeight="1">
      <c r="B18" t="s" s="19">
        <v>62</v>
      </c>
      <c r="C18" s="25">
        <f>SQRT(4*C4*"1.496E11"/9.81/C7)/60/60/24</f>
        <v>16.5039127454575</v>
      </c>
      <c r="D18" t="s" s="5">
        <v>63</v>
      </c>
    </row>
    <row r="19" ht="19" customHeight="1">
      <c r="B19" t="s" s="21">
        <v>64</v>
      </c>
      <c r="C19" s="22">
        <f>C18/2</f>
        <v>8.251956372728751</v>
      </c>
      <c r="D19" t="s" s="7">
        <v>63</v>
      </c>
    </row>
    <row r="20" ht="19" customHeight="1">
      <c r="B20" t="s" s="16">
        <v>65</v>
      </c>
      <c r="C20" s="14"/>
      <c r="D20" s="15"/>
    </row>
    <row r="21" ht="19" customHeight="1">
      <c r="B21" t="s" s="21">
        <v>66</v>
      </c>
      <c r="C21" s="22">
        <f>C7*C18</f>
        <v>4.95117382363725</v>
      </c>
      <c r="D21" t="s" s="7">
        <v>67</v>
      </c>
    </row>
    <row r="22" ht="20" customHeight="1">
      <c r="B22" t="s" s="28">
        <v>68</v>
      </c>
      <c r="C22" s="29">
        <f>C21/F26*100</f>
        <v>23.5770182077964</v>
      </c>
      <c r="D22" t="s" s="11">
        <v>69</v>
      </c>
    </row>
    <row r="24" ht="20" customHeight="1">
      <c r="E24" t="s" s="31">
        <v>70</v>
      </c>
      <c r="F24" s="32"/>
      <c r="G24" s="33"/>
    </row>
    <row r="25" ht="19" customHeight="1">
      <c r="E25" t="s" s="34">
        <v>50</v>
      </c>
      <c r="F25" s="35">
        <v>0.25</v>
      </c>
      <c r="G25" t="s" s="36">
        <v>47</v>
      </c>
    </row>
    <row r="26" ht="19" customHeight="1">
      <c r="E26" t="s" s="37">
        <v>71</v>
      </c>
      <c r="F26" s="23">
        <v>21</v>
      </c>
      <c r="G26" t="s" s="38">
        <v>63</v>
      </c>
    </row>
    <row r="27" ht="20" customHeight="1">
      <c r="E27" t="s" s="39">
        <v>66</v>
      </c>
      <c r="F27" s="40">
        <f>F25*F26</f>
        <v>5.25</v>
      </c>
      <c r="G27" t="s" s="41">
        <v>67</v>
      </c>
    </row>
    <row r="29" ht="20" customHeight="1">
      <c r="H29" t="s" s="43">
        <v>72</v>
      </c>
      <c r="I29" s="44"/>
      <c r="J29" s="45"/>
    </row>
    <row r="30" ht="19" customHeight="1">
      <c r="H30" t="s" s="46">
        <v>41</v>
      </c>
      <c r="I30" s="14"/>
      <c r="J30" s="47"/>
    </row>
    <row r="31" ht="19" customHeight="1">
      <c r="H31" t="s" s="48">
        <v>73</v>
      </c>
      <c r="I31" t="s" s="49">
        <v>74</v>
      </c>
      <c r="J31" s="50"/>
    </row>
    <row r="32" ht="19" customHeight="1">
      <c r="H32" t="s" s="51">
        <v>75</v>
      </c>
      <c r="I32" t="s" s="52">
        <v>76</v>
      </c>
      <c r="J32" s="47"/>
    </row>
    <row r="33" ht="8" customHeight="1" hidden="1">
      <c r="H33" t="s" s="53">
        <v>77</v>
      </c>
      <c r="I33" s="54">
        <f>VLOOKUP(I31,$O88:$P103,2,FALSE)</f>
        <v>8</v>
      </c>
      <c r="J33" s="50"/>
    </row>
    <row r="34" ht="8" customHeight="1" hidden="1">
      <c r="H34" t="s" s="55">
        <v>78</v>
      </c>
      <c r="I34" s="56">
        <f>HLOOKUP(I32,Q$88:AD$89,2,FALSE)</f>
        <v>10</v>
      </c>
      <c r="J34" s="47"/>
    </row>
    <row r="35" ht="19" customHeight="1">
      <c r="H35" t="s" s="48">
        <v>42</v>
      </c>
      <c r="I35" s="22">
        <f>INDEX(Q90:AD103,I33,I34)</f>
        <v>5.58054526259698</v>
      </c>
      <c r="J35" t="s" s="57">
        <v>43</v>
      </c>
    </row>
    <row r="36" ht="19" customHeight="1">
      <c r="H36" t="s" s="51">
        <v>42</v>
      </c>
      <c r="I36" s="25">
        <f>I35*"1.496E11"/"3E8"/60</f>
        <v>46.3805317380282</v>
      </c>
      <c r="J36" t="s" s="58">
        <v>44</v>
      </c>
    </row>
    <row r="37" ht="19" customHeight="1">
      <c r="H37" t="s" s="46">
        <v>45</v>
      </c>
      <c r="I37" s="17"/>
      <c r="J37" s="50"/>
    </row>
    <row r="38" ht="19" customHeight="1">
      <c r="H38" t="s" s="51">
        <v>46</v>
      </c>
      <c r="I38" s="35">
        <v>0.3</v>
      </c>
      <c r="J38" t="s" s="58">
        <v>47</v>
      </c>
    </row>
    <row r="39" ht="19" customHeight="1">
      <c r="H39" t="s" s="48">
        <v>79</v>
      </c>
      <c r="I39" s="23">
        <v>6.1</v>
      </c>
      <c r="J39" t="s" s="57">
        <v>63</v>
      </c>
    </row>
    <row r="40" ht="8" customHeight="1" hidden="1">
      <c r="H40" t="s" s="46">
        <v>48</v>
      </c>
      <c r="I40" s="14"/>
      <c r="J40" s="47"/>
    </row>
    <row r="41" ht="8" customHeight="1" hidden="1">
      <c r="H41" t="s" s="48">
        <v>42</v>
      </c>
      <c r="I41" s="24">
        <f>I35*"1.496E11"</f>
        <v>834849571284.5081</v>
      </c>
      <c r="J41" t="s" s="57">
        <v>49</v>
      </c>
    </row>
    <row r="42" ht="8" customHeight="1" hidden="1">
      <c r="H42" t="s" s="51">
        <v>50</v>
      </c>
      <c r="I42" s="25">
        <f>I38*9.81</f>
        <v>2.943</v>
      </c>
      <c r="J42" t="s" s="58">
        <v>51</v>
      </c>
    </row>
    <row r="43" ht="8" customHeight="1" hidden="1">
      <c r="H43" t="s" s="48">
        <v>52</v>
      </c>
      <c r="I43" s="24">
        <f>I39*24*60*60</f>
        <v>527040</v>
      </c>
      <c r="J43" t="s" s="57">
        <v>53</v>
      </c>
    </row>
    <row r="44" ht="8" customHeight="1" hidden="1">
      <c r="H44" t="s" s="51">
        <v>54</v>
      </c>
      <c r="I44" s="26">
        <f>2*I42*I43</f>
        <v>3102157.44</v>
      </c>
      <c r="J44" t="s" s="58">
        <v>55</v>
      </c>
    </row>
    <row r="45" ht="8" customHeight="1" hidden="1">
      <c r="H45" t="s" s="48">
        <v>54</v>
      </c>
      <c r="I45" s="24">
        <f>I44/"1.496E11"*24*60*60</f>
        <v>1.79162033967914</v>
      </c>
      <c r="J45" t="s" s="57">
        <v>56</v>
      </c>
    </row>
    <row r="46" ht="8" customHeight="1" hidden="1">
      <c r="H46" t="s" s="51">
        <v>57</v>
      </c>
      <c r="I46" s="27">
        <f>I41/I42</f>
        <v>283672976990.998</v>
      </c>
      <c r="J46" t="s" s="58">
        <v>58</v>
      </c>
    </row>
    <row r="47" ht="8" customHeight="1" hidden="1">
      <c r="H47" t="s" s="48">
        <v>57</v>
      </c>
      <c r="I47" s="24">
        <f>I46/(60*60*24)</f>
        <v>3283252.04850692</v>
      </c>
      <c r="J47" t="s" s="57">
        <v>59</v>
      </c>
    </row>
    <row r="48" ht="8" customHeight="1" hidden="1">
      <c r="H48" t="s" s="51">
        <v>60</v>
      </c>
      <c r="I48" s="27">
        <f>I46/I43-I43</f>
        <v>11198.0407388396</v>
      </c>
      <c r="J48" t="s" s="58">
        <v>53</v>
      </c>
    </row>
    <row r="49" ht="19" customHeight="1">
      <c r="H49" t="s" s="46">
        <v>80</v>
      </c>
      <c r="I49" s="17"/>
      <c r="J49" s="50"/>
    </row>
    <row r="50" ht="19" customHeight="1">
      <c r="H50" t="s" s="51">
        <v>81</v>
      </c>
      <c r="I50" s="25">
        <f>I48/24/60/60</f>
        <v>0.129606952995829</v>
      </c>
      <c r="J50" t="s" s="58">
        <v>63</v>
      </c>
    </row>
    <row r="51" ht="19" customHeight="1">
      <c r="H51" t="s" s="48">
        <v>62</v>
      </c>
      <c r="I51" s="22">
        <f>2*I39+I50</f>
        <v>12.3296069529958</v>
      </c>
      <c r="J51" t="s" s="57">
        <v>63</v>
      </c>
    </row>
    <row r="52" ht="19" customHeight="1">
      <c r="H52" t="s" s="51">
        <v>62</v>
      </c>
      <c r="I52" s="26">
        <f>I51*24</f>
        <v>295.910566871899</v>
      </c>
      <c r="J52" t="s" s="58">
        <v>82</v>
      </c>
    </row>
    <row r="53" ht="19" customHeight="1">
      <c r="H53" t="s" s="46">
        <v>65</v>
      </c>
      <c r="I53" s="17"/>
      <c r="J53" s="50"/>
    </row>
    <row r="54" ht="19" customHeight="1">
      <c r="H54" t="s" s="51">
        <v>66</v>
      </c>
      <c r="I54" s="25">
        <f>I38*I39*2</f>
        <v>3.66</v>
      </c>
      <c r="J54" t="s" s="58">
        <v>67</v>
      </c>
    </row>
    <row r="55" ht="20" customHeight="1">
      <c r="H55" t="s" s="59">
        <v>68</v>
      </c>
      <c r="I55" s="60">
        <f>I54/F26*100</f>
        <v>17.4285714285714</v>
      </c>
      <c r="J55" t="s" s="61">
        <v>69</v>
      </c>
    </row>
    <row r="57" ht="20" customHeight="1">
      <c r="K57" t="s" s="2">
        <v>83</v>
      </c>
      <c r="L57" s="13"/>
      <c r="M57" s="3"/>
    </row>
    <row r="58" ht="19" customHeight="1">
      <c r="K58" t="s" s="4">
        <v>84</v>
      </c>
      <c r="L58" s="14"/>
      <c r="M58" s="15"/>
    </row>
    <row r="59" ht="19" customHeight="1">
      <c r="K59" t="s" s="16">
        <v>41</v>
      </c>
      <c r="L59" s="17"/>
      <c r="M59" s="18"/>
    </row>
    <row r="60" ht="19" customHeight="1">
      <c r="K60" t="s" s="19">
        <v>42</v>
      </c>
      <c r="L60" s="20">
        <v>10</v>
      </c>
      <c r="M60" t="s" s="5">
        <v>43</v>
      </c>
    </row>
    <row r="61" ht="19" customHeight="1">
      <c r="K61" t="s" s="21">
        <v>42</v>
      </c>
      <c r="L61" s="22">
        <f>L60*"1.496E11"/"3E8"/60</f>
        <v>83.1111111111111</v>
      </c>
      <c r="M61" t="s" s="7">
        <v>44</v>
      </c>
    </row>
    <row r="62" ht="19" customHeight="1">
      <c r="K62" t="s" s="16">
        <v>45</v>
      </c>
      <c r="L62" s="14"/>
      <c r="M62" s="15"/>
    </row>
    <row r="63" ht="19" customHeight="1">
      <c r="K63" t="s" s="21">
        <v>46</v>
      </c>
      <c r="L63" s="23">
        <v>0.3</v>
      </c>
      <c r="M63" t="s" s="7">
        <v>47</v>
      </c>
    </row>
    <row r="64" ht="19" customHeight="1">
      <c r="K64" t="s" s="19">
        <v>79</v>
      </c>
      <c r="L64" s="35">
        <v>4</v>
      </c>
      <c r="M64" t="s" s="5">
        <v>63</v>
      </c>
    </row>
    <row r="65" ht="8" customHeight="1" hidden="1">
      <c r="K65" t="s" s="16">
        <v>48</v>
      </c>
      <c r="L65" s="17"/>
      <c r="M65" s="18"/>
    </row>
    <row r="66" ht="8" customHeight="1" hidden="1">
      <c r="K66" t="s" s="19">
        <v>42</v>
      </c>
      <c r="L66" s="27">
        <f>L60*"1.496E11"</f>
        <v>1496000000000</v>
      </c>
      <c r="M66" t="s" s="5">
        <v>49</v>
      </c>
    </row>
    <row r="67" ht="8" customHeight="1" hidden="1">
      <c r="K67" t="s" s="21">
        <v>50</v>
      </c>
      <c r="L67" s="22">
        <f>L63*9.81</f>
        <v>2.943</v>
      </c>
      <c r="M67" t="s" s="7">
        <v>51</v>
      </c>
    </row>
    <row r="68" ht="8" customHeight="1" hidden="1">
      <c r="K68" t="s" s="19">
        <v>52</v>
      </c>
      <c r="L68" s="27">
        <f>L64*24*60*60</f>
        <v>345600</v>
      </c>
      <c r="M68" t="s" s="5">
        <v>53</v>
      </c>
    </row>
    <row r="69" ht="8" customHeight="1" hidden="1">
      <c r="K69" t="s" s="21">
        <v>54</v>
      </c>
      <c r="L69" s="63">
        <f>2*L67*L68</f>
        <v>2034201.6</v>
      </c>
      <c r="M69" t="s" s="7">
        <v>55</v>
      </c>
    </row>
    <row r="70" ht="8" customHeight="1" hidden="1">
      <c r="K70" t="s" s="19">
        <v>54</v>
      </c>
      <c r="L70" s="27">
        <f>L69/"1.496E11"*24*60*60</f>
        <v>1.17483300962567</v>
      </c>
      <c r="M70" t="s" s="5">
        <v>56</v>
      </c>
    </row>
    <row r="71" ht="8" customHeight="1" hidden="1">
      <c r="K71" t="s" s="21">
        <v>57</v>
      </c>
      <c r="L71" s="24">
        <f>L66/L67</f>
        <v>508324838600.068</v>
      </c>
      <c r="M71" t="s" s="7">
        <v>58</v>
      </c>
    </row>
    <row r="72" ht="8" customHeight="1" hidden="1">
      <c r="K72" t="s" s="19">
        <v>57</v>
      </c>
      <c r="L72" s="27">
        <f>L71/(60*60*24)</f>
        <v>5883389.33564894</v>
      </c>
      <c r="M72" t="s" s="5">
        <v>59</v>
      </c>
    </row>
    <row r="73" ht="8" customHeight="1" hidden="1">
      <c r="K73" t="s" s="21">
        <v>60</v>
      </c>
      <c r="L73" s="24">
        <f>L71/L68-L68</f>
        <v>1125247.33391223</v>
      </c>
      <c r="M73" t="s" s="7">
        <v>53</v>
      </c>
    </row>
    <row r="74" ht="19" customHeight="1">
      <c r="K74" t="s" s="16">
        <v>61</v>
      </c>
      <c r="L74" s="14"/>
      <c r="M74" s="15"/>
    </row>
    <row r="75" ht="19" customHeight="1">
      <c r="K75" t="s" s="21">
        <v>81</v>
      </c>
      <c r="L75" s="22">
        <f>L73/24/60/60</f>
        <v>13.0236959943545</v>
      </c>
      <c r="M75" t="s" s="7">
        <v>63</v>
      </c>
    </row>
    <row r="76" ht="19" customHeight="1">
      <c r="K76" t="s" s="19">
        <v>62</v>
      </c>
      <c r="L76" s="25">
        <f>2*L64+L75</f>
        <v>21.0236959943545</v>
      </c>
      <c r="M76" t="s" s="5">
        <v>63</v>
      </c>
    </row>
    <row r="77" ht="19" customHeight="1">
      <c r="K77" t="s" s="21">
        <v>62</v>
      </c>
      <c r="L77" s="63">
        <f>L76*24</f>
        <v>504.568703864508</v>
      </c>
      <c r="M77" t="s" s="7">
        <v>82</v>
      </c>
    </row>
    <row r="78" ht="19" customHeight="1">
      <c r="K78" t="s" s="16">
        <v>65</v>
      </c>
      <c r="L78" s="14"/>
      <c r="M78" s="15"/>
    </row>
    <row r="79" ht="19" customHeight="1">
      <c r="K79" t="s" s="21">
        <v>66</v>
      </c>
      <c r="L79" s="22">
        <f>L63*L64*2</f>
        <v>2.4</v>
      </c>
      <c r="M79" t="s" s="7">
        <v>67</v>
      </c>
    </row>
    <row r="80" ht="20" customHeight="1">
      <c r="K80" t="s" s="28">
        <v>68</v>
      </c>
      <c r="L80" s="29">
        <f>L79/F26*100</f>
        <v>11.4285714285714</v>
      </c>
      <c r="M80" t="s" s="11">
        <v>69</v>
      </c>
    </row>
    <row r="82" ht="20" customHeight="1">
      <c r="N82" t="s" s="65">
        <v>85</v>
      </c>
    </row>
    <row r="83" ht="19" customHeight="1">
      <c r="N83" t="s" s="66">
        <v>86</v>
      </c>
    </row>
    <row r="84" ht="19" customHeight="1">
      <c r="N84" t="s" s="67">
        <v>87</v>
      </c>
    </row>
    <row r="85" ht="31" customHeight="1">
      <c r="N85" t="s" s="68">
        <v>88</v>
      </c>
    </row>
    <row r="87" ht="21" customHeight="1">
      <c r="O87" t="s" s="70">
        <v>89</v>
      </c>
      <c r="P87" s="71"/>
      <c r="Q87" s="72"/>
      <c r="R87" s="72"/>
      <c r="S87" s="72"/>
      <c r="T87" s="72"/>
      <c r="U87" s="72"/>
      <c r="V87" s="72"/>
      <c r="W87" s="72"/>
      <c r="X87" s="72"/>
      <c r="Y87" s="72"/>
      <c r="Z87" s="72"/>
      <c r="AA87" s="72"/>
      <c r="AB87" s="72"/>
      <c r="AC87" s="72"/>
      <c r="AD87" s="73"/>
    </row>
    <row r="88" ht="20" customHeight="1">
      <c r="O88" s="74"/>
      <c r="P88" s="75"/>
      <c r="Q88" t="s" s="76">
        <v>90</v>
      </c>
      <c r="R88" t="s" s="76">
        <v>91</v>
      </c>
      <c r="S88" t="s" s="76">
        <v>92</v>
      </c>
      <c r="T88" t="s" s="76">
        <v>93</v>
      </c>
      <c r="U88" t="s" s="76">
        <v>94</v>
      </c>
      <c r="V88" t="s" s="76">
        <v>95</v>
      </c>
      <c r="W88" t="s" s="76">
        <v>96</v>
      </c>
      <c r="X88" t="s" s="76">
        <v>74</v>
      </c>
      <c r="Y88" t="s" s="76">
        <v>97</v>
      </c>
      <c r="Z88" t="s" s="76">
        <v>76</v>
      </c>
      <c r="AA88" t="s" s="76">
        <v>98</v>
      </c>
      <c r="AB88" t="s" s="76">
        <v>99</v>
      </c>
      <c r="AC88" t="s" s="76">
        <v>100</v>
      </c>
      <c r="AD88" t="s" s="77">
        <v>101</v>
      </c>
    </row>
    <row r="89" ht="8" customHeight="1" hidden="1">
      <c r="O89" s="8"/>
      <c r="P89" s="56"/>
      <c r="Q89" s="56">
        <v>1</v>
      </c>
      <c r="R89" s="56">
        <v>2</v>
      </c>
      <c r="S89" s="56">
        <v>3</v>
      </c>
      <c r="T89" s="56">
        <v>4</v>
      </c>
      <c r="U89" s="56">
        <v>5</v>
      </c>
      <c r="V89" s="56">
        <v>6</v>
      </c>
      <c r="W89" s="56">
        <v>7</v>
      </c>
      <c r="X89" s="56">
        <v>8</v>
      </c>
      <c r="Y89" s="56">
        <v>9</v>
      </c>
      <c r="Z89" s="56">
        <v>10</v>
      </c>
      <c r="AA89" s="56">
        <v>11</v>
      </c>
      <c r="AB89" s="56">
        <v>12</v>
      </c>
      <c r="AC89" s="56">
        <v>13</v>
      </c>
      <c r="AD89" s="78">
        <v>14</v>
      </c>
    </row>
    <row r="90" ht="19" customHeight="1">
      <c r="O90" t="s" s="21">
        <v>90</v>
      </c>
      <c r="P90" s="54">
        <v>1</v>
      </c>
      <c r="Q90" s="22">
        <v>0</v>
      </c>
      <c r="R90" s="22">
        <v>0.387</v>
      </c>
      <c r="S90" s="22">
        <v>0.723</v>
      </c>
      <c r="T90" s="22">
        <v>1</v>
      </c>
      <c r="U90" s="22">
        <v>1.4579</v>
      </c>
      <c r="V90" s="22">
        <v>1.52</v>
      </c>
      <c r="W90" s="22">
        <v>2.769</v>
      </c>
      <c r="X90" s="22">
        <v>2.769</v>
      </c>
      <c r="Y90" s="22">
        <v>2.769</v>
      </c>
      <c r="Z90" s="22">
        <v>5.2</v>
      </c>
      <c r="AA90" s="22">
        <v>9.58</v>
      </c>
      <c r="AB90" s="22">
        <v>19.2</v>
      </c>
      <c r="AC90" s="22">
        <v>30.05</v>
      </c>
      <c r="AD90" s="79">
        <v>39.48</v>
      </c>
    </row>
    <row r="91" ht="19" customHeight="1">
      <c r="O91" t="s" s="19">
        <v>91</v>
      </c>
      <c r="P91" s="80">
        <v>2</v>
      </c>
      <c r="Q91" s="25">
        <v>0.387</v>
      </c>
      <c r="R91" s="25">
        <v>0</v>
      </c>
      <c r="S91" s="25">
        <v>0.776</v>
      </c>
      <c r="T91" s="25">
        <v>1.038</v>
      </c>
      <c r="U91" s="25">
        <v>1.48339327018572</v>
      </c>
      <c r="V91" s="25">
        <v>1.548</v>
      </c>
      <c r="W91" s="25">
        <v>2.78270322220504</v>
      </c>
      <c r="X91" s="25">
        <v>2.78270322220504</v>
      </c>
      <c r="Y91" s="25">
        <v>2.78270322220504</v>
      </c>
      <c r="Z91" s="25">
        <v>5.212</v>
      </c>
      <c r="AA91" s="25">
        <v>9.586</v>
      </c>
      <c r="AB91" s="25">
        <v>19.203</v>
      </c>
      <c r="AC91" s="25">
        <v>30.049</v>
      </c>
      <c r="AD91" s="81">
        <v>39.4914674435063</v>
      </c>
    </row>
    <row r="92" ht="19" customHeight="1">
      <c r="O92" t="s" s="21">
        <v>92</v>
      </c>
      <c r="P92" s="54">
        <v>3</v>
      </c>
      <c r="Q92" s="22">
        <v>0.723</v>
      </c>
      <c r="R92" s="22">
        <v>0.776</v>
      </c>
      <c r="S92" s="22">
        <v>0</v>
      </c>
      <c r="T92" s="22">
        <v>1.136</v>
      </c>
      <c r="U92" s="22">
        <v>1.54945893269701</v>
      </c>
      <c r="V92" s="22">
        <v>1.611</v>
      </c>
      <c r="W92" s="22">
        <v>2.81663760255132</v>
      </c>
      <c r="X92" s="22">
        <v>2.81663760255132</v>
      </c>
      <c r="Y92" s="22">
        <v>2.81663760255132</v>
      </c>
      <c r="Z92" s="22">
        <v>5.23</v>
      </c>
      <c r="AA92" s="22">
        <v>9.596</v>
      </c>
      <c r="AB92" s="22">
        <v>19.208</v>
      </c>
      <c r="AC92" s="22">
        <v>30.052</v>
      </c>
      <c r="AD92" s="79">
        <v>39.4914674435063</v>
      </c>
    </row>
    <row r="93" ht="19" customHeight="1">
      <c r="O93" t="s" s="19">
        <v>93</v>
      </c>
      <c r="P93" s="80">
        <v>4</v>
      </c>
      <c r="Q93" s="25">
        <v>1</v>
      </c>
      <c r="R93" s="25">
        <v>1.038</v>
      </c>
      <c r="S93" s="25">
        <v>1.136</v>
      </c>
      <c r="T93" s="25">
        <v>0</v>
      </c>
      <c r="U93" s="25">
        <v>1.63672613447338</v>
      </c>
      <c r="V93" s="25">
        <v>1.693</v>
      </c>
      <c r="W93" s="25">
        <v>2.86010854708767</v>
      </c>
      <c r="X93" s="25">
        <v>2.86010854708767</v>
      </c>
      <c r="Y93" s="25">
        <v>2.86010854708767</v>
      </c>
      <c r="Z93" s="25">
        <v>5.253</v>
      </c>
      <c r="AA93" s="25">
        <v>9.608000000000001</v>
      </c>
      <c r="AB93" s="25">
        <v>19.214</v>
      </c>
      <c r="AC93" s="25">
        <v>30.056</v>
      </c>
      <c r="AD93" s="81">
        <v>39.4914674435063</v>
      </c>
    </row>
    <row r="94" ht="19" customHeight="1">
      <c r="O94" t="s" s="21">
        <v>94</v>
      </c>
      <c r="P94" s="54">
        <v>5</v>
      </c>
      <c r="Q94" s="22">
        <v>1.4579</v>
      </c>
      <c r="R94" s="22">
        <v>1.48339327018572</v>
      </c>
      <c r="S94" s="22">
        <v>1.54945893269701</v>
      </c>
      <c r="T94" s="22">
        <v>1.63672613447338</v>
      </c>
      <c r="U94" s="22">
        <v>0</v>
      </c>
      <c r="V94" s="22">
        <v>1.89579002013342</v>
      </c>
      <c r="W94" s="22">
        <v>2.96002092740258</v>
      </c>
      <c r="X94" s="22">
        <v>2.96002092740258</v>
      </c>
      <c r="Y94" s="22">
        <v>2.96002092740258</v>
      </c>
      <c r="Z94" s="22">
        <v>5.3024270288401</v>
      </c>
      <c r="AA94" s="22">
        <v>9.633942123405509</v>
      </c>
      <c r="AB94" s="22">
        <v>19.2270947447559</v>
      </c>
      <c r="AC94" s="22">
        <v>30.0878281886708</v>
      </c>
      <c r="AD94" s="79">
        <v>39.4914674435063</v>
      </c>
    </row>
    <row r="95" ht="19" customHeight="1">
      <c r="O95" t="s" s="19">
        <v>95</v>
      </c>
      <c r="P95" s="80">
        <v>6</v>
      </c>
      <c r="Q95" s="25">
        <v>1.52</v>
      </c>
      <c r="R95" s="25">
        <v>1.548</v>
      </c>
      <c r="S95" s="25">
        <v>1.611</v>
      </c>
      <c r="T95" s="25">
        <v>1.693</v>
      </c>
      <c r="U95" s="25">
        <v>1.89579002013342</v>
      </c>
      <c r="V95" s="25">
        <v>0</v>
      </c>
      <c r="W95" s="25">
        <v>2.97620380201617</v>
      </c>
      <c r="X95" s="25">
        <v>2.97620380201617</v>
      </c>
      <c r="Y95" s="25">
        <v>2.97620380201617</v>
      </c>
      <c r="Z95" s="25">
        <v>5.317</v>
      </c>
      <c r="AA95" s="25">
        <v>9.643000000000001</v>
      </c>
      <c r="AB95" s="25">
        <v>19.231</v>
      </c>
      <c r="AC95" s="25">
        <v>30.067</v>
      </c>
      <c r="AD95" s="81">
        <v>39.4914674435063</v>
      </c>
    </row>
    <row r="96" ht="19" customHeight="1">
      <c r="O96" t="s" s="21">
        <v>96</v>
      </c>
      <c r="P96" s="54">
        <v>7</v>
      </c>
      <c r="Q96" s="22">
        <v>2.769</v>
      </c>
      <c r="R96" s="22">
        <v>2.78270322220504</v>
      </c>
      <c r="S96" s="22">
        <v>2.81663760255132</v>
      </c>
      <c r="T96" s="22">
        <v>2.86010854708767</v>
      </c>
      <c r="U96" s="22">
        <v>2.96002092740258</v>
      </c>
      <c r="V96" s="22">
        <v>2.97620380201617</v>
      </c>
      <c r="W96" s="22">
        <v>0</v>
      </c>
      <c r="X96" s="22">
        <f>Q96</f>
        <v>2.769</v>
      </c>
      <c r="Y96" s="22">
        <f>Q96*2</f>
        <v>5.538</v>
      </c>
      <c r="Z96" s="22">
        <v>5.58054526259698</v>
      </c>
      <c r="AA96" s="22">
        <v>9.748405785519401</v>
      </c>
      <c r="AB96" s="22">
        <v>19.3005416952179</v>
      </c>
      <c r="AC96" s="22">
        <v>30.0862430054376</v>
      </c>
      <c r="AD96" s="79">
        <v>39.4914674435063</v>
      </c>
    </row>
    <row r="97" ht="19" customHeight="1">
      <c r="O97" t="s" s="19">
        <v>74</v>
      </c>
      <c r="P97" s="80">
        <v>8</v>
      </c>
      <c r="Q97" s="25">
        <v>2.769</v>
      </c>
      <c r="R97" s="25">
        <v>2.78270322220504</v>
      </c>
      <c r="S97" s="25">
        <v>2.81663760255132</v>
      </c>
      <c r="T97" s="25">
        <v>2.86010854708767</v>
      </c>
      <c r="U97" s="25">
        <v>2.96002092740258</v>
      </c>
      <c r="V97" s="25">
        <v>2.97620380201617</v>
      </c>
      <c r="W97" s="25">
        <f>X96</f>
        <v>2.769</v>
      </c>
      <c r="X97" s="25">
        <v>0</v>
      </c>
      <c r="Y97" s="25">
        <f>Q97*SQRT(3)</f>
        <v>4.79604868615822</v>
      </c>
      <c r="Z97" s="25">
        <v>5.58054526259698</v>
      </c>
      <c r="AA97" s="25">
        <v>9.748405785519401</v>
      </c>
      <c r="AB97" s="25">
        <v>19.3005416952179</v>
      </c>
      <c r="AC97" s="25">
        <v>30.0862430054376</v>
      </c>
      <c r="AD97" s="81">
        <v>39.4914674435063</v>
      </c>
    </row>
    <row r="98" ht="19" customHeight="1">
      <c r="O98" t="s" s="21">
        <v>97</v>
      </c>
      <c r="P98" s="54">
        <v>9</v>
      </c>
      <c r="Q98" s="22">
        <v>2.769</v>
      </c>
      <c r="R98" s="22">
        <v>2.78270322220504</v>
      </c>
      <c r="S98" s="22">
        <v>2.81663760255132</v>
      </c>
      <c r="T98" s="22">
        <v>2.86010854708767</v>
      </c>
      <c r="U98" s="22">
        <v>2.96002092740258</v>
      </c>
      <c r="V98" s="22">
        <v>2.97620380201617</v>
      </c>
      <c r="W98" s="22">
        <f>Y96</f>
        <v>5.538</v>
      </c>
      <c r="X98" s="22">
        <f>Y97</f>
        <v>4.79604868615822</v>
      </c>
      <c r="Y98" s="22">
        <v>0</v>
      </c>
      <c r="Z98" s="22">
        <v>5.58054526259698</v>
      </c>
      <c r="AA98" s="22">
        <v>9.748405785519401</v>
      </c>
      <c r="AB98" s="22">
        <v>19.3005416952179</v>
      </c>
      <c r="AC98" s="22">
        <v>30.0862430054376</v>
      </c>
      <c r="AD98" s="79">
        <v>39.5379266812542</v>
      </c>
    </row>
    <row r="99" ht="19" customHeight="1">
      <c r="O99" t="s" s="19">
        <v>76</v>
      </c>
      <c r="P99" s="80">
        <v>10</v>
      </c>
      <c r="Q99" s="25">
        <v>5.2</v>
      </c>
      <c r="R99" s="25">
        <v>5.212</v>
      </c>
      <c r="S99" s="25">
        <v>5.23</v>
      </c>
      <c r="T99" s="25">
        <v>5.253</v>
      </c>
      <c r="U99" s="25">
        <v>5.3024270288401</v>
      </c>
      <c r="V99" s="25">
        <v>5.317</v>
      </c>
      <c r="W99" s="25">
        <v>5.58054526259698</v>
      </c>
      <c r="X99" s="25">
        <v>5.58054526259698</v>
      </c>
      <c r="Y99" s="25">
        <v>5.58054526259698</v>
      </c>
      <c r="Z99" s="25">
        <v>0</v>
      </c>
      <c r="AA99" s="25">
        <v>10.303</v>
      </c>
      <c r="AB99" s="25">
        <v>19.556</v>
      </c>
      <c r="AC99" s="25">
        <v>30.273</v>
      </c>
      <c r="AD99" s="81">
        <v>39.6511749725606</v>
      </c>
    </row>
    <row r="100" ht="19" customHeight="1">
      <c r="O100" t="s" s="21">
        <v>98</v>
      </c>
      <c r="P100" s="54">
        <v>11</v>
      </c>
      <c r="Q100" s="22">
        <v>9.58</v>
      </c>
      <c r="R100" s="22">
        <v>9.586</v>
      </c>
      <c r="S100" s="22">
        <v>9.596</v>
      </c>
      <c r="T100" s="22">
        <v>9.608000000000001</v>
      </c>
      <c r="U100" s="22">
        <v>9.633942123405509</v>
      </c>
      <c r="V100" s="22">
        <v>9.643000000000001</v>
      </c>
      <c r="W100" s="22">
        <v>9.748405785519401</v>
      </c>
      <c r="X100" s="22">
        <v>9.748405785519401</v>
      </c>
      <c r="Y100" s="22">
        <v>9.748405785519401</v>
      </c>
      <c r="Z100" s="22">
        <v>10.303</v>
      </c>
      <c r="AA100" s="22">
        <v>0</v>
      </c>
      <c r="AB100" s="22">
        <v>20.417</v>
      </c>
      <c r="AC100" s="22">
        <v>30.816</v>
      </c>
      <c r="AD100" s="79">
        <v>40.0713822195096</v>
      </c>
    </row>
    <row r="101" ht="19" customHeight="1">
      <c r="O101" t="s" s="19">
        <v>99</v>
      </c>
      <c r="P101" s="80">
        <v>12</v>
      </c>
      <c r="Q101" s="25">
        <v>19.2</v>
      </c>
      <c r="R101" s="25">
        <v>19.203</v>
      </c>
      <c r="S101" s="25">
        <v>19.208</v>
      </c>
      <c r="T101" s="25">
        <v>19.214</v>
      </c>
      <c r="U101" s="25">
        <v>19.2270947447559</v>
      </c>
      <c r="V101" s="25">
        <v>19.231</v>
      </c>
      <c r="W101" s="25">
        <v>19.3005416952179</v>
      </c>
      <c r="X101" s="25">
        <v>19.3005416952179</v>
      </c>
      <c r="Y101" s="25">
        <v>19.3005416952179</v>
      </c>
      <c r="Z101" s="25">
        <v>19.556</v>
      </c>
      <c r="AA101" s="25">
        <v>20.417</v>
      </c>
      <c r="AB101" s="25">
        <v>0</v>
      </c>
      <c r="AC101" s="25">
        <v>33.203</v>
      </c>
      <c r="AD101" s="81">
        <v>41.8396700316332</v>
      </c>
    </row>
    <row r="102" ht="19" customHeight="1">
      <c r="O102" t="s" s="21">
        <v>100</v>
      </c>
      <c r="P102" s="54">
        <v>13</v>
      </c>
      <c r="Q102" s="22">
        <v>30.05</v>
      </c>
      <c r="R102" s="22">
        <v>30.049</v>
      </c>
      <c r="S102" s="22">
        <v>30.052</v>
      </c>
      <c r="T102" s="22">
        <v>30.056</v>
      </c>
      <c r="U102" s="22">
        <v>30.0878281886708</v>
      </c>
      <c r="V102" s="22">
        <v>30.067</v>
      </c>
      <c r="W102" s="22">
        <v>30.0862430054376</v>
      </c>
      <c r="X102" s="22">
        <v>30.0862430054376</v>
      </c>
      <c r="Y102" s="22">
        <v>30.0862430054376</v>
      </c>
      <c r="Z102" s="22">
        <v>30.273</v>
      </c>
      <c r="AA102" s="22">
        <v>30.816</v>
      </c>
      <c r="AB102" s="22">
        <v>33.203</v>
      </c>
      <c r="AC102" s="22">
        <v>0</v>
      </c>
      <c r="AD102" s="79">
        <v>45.5920979558995</v>
      </c>
    </row>
    <row r="103" ht="20" customHeight="1">
      <c r="O103" t="s" s="28">
        <v>101</v>
      </c>
      <c r="P103" s="82">
        <v>14</v>
      </c>
      <c r="Q103" s="83">
        <v>39.5</v>
      </c>
      <c r="R103" s="83">
        <v>39.4914674435063</v>
      </c>
      <c r="S103" s="83">
        <v>39.491580125206</v>
      </c>
      <c r="T103" s="83">
        <v>39.4286636297227</v>
      </c>
      <c r="U103" s="83">
        <v>39.4837430174983</v>
      </c>
      <c r="V103" s="83">
        <v>39.413130107277</v>
      </c>
      <c r="W103" s="83">
        <v>39.5379266812542</v>
      </c>
      <c r="X103" s="83">
        <v>39.5379266812542</v>
      </c>
      <c r="Y103" s="83">
        <v>39.5379266812542</v>
      </c>
      <c r="Z103" s="83">
        <v>39.6511749725606</v>
      </c>
      <c r="AA103" s="83">
        <v>40.0713822195096</v>
      </c>
      <c r="AB103" s="83">
        <v>41.8396700316332</v>
      </c>
      <c r="AC103" s="83">
        <v>45.5920979558995</v>
      </c>
      <c r="AD103" s="84">
        <v>0</v>
      </c>
    </row>
    <row r="105" ht="21" customHeight="1">
      <c r="AE105" t="s" s="70">
        <v>102</v>
      </c>
      <c r="AF105" s="71"/>
      <c r="AG105" s="72"/>
      <c r="AH105" s="72"/>
      <c r="AI105" s="72"/>
      <c r="AJ105" s="72"/>
      <c r="AK105" s="72"/>
      <c r="AL105" s="72"/>
      <c r="AM105" s="72"/>
      <c r="AN105" s="72"/>
      <c r="AO105" s="72"/>
      <c r="AP105" s="72"/>
      <c r="AQ105" s="72"/>
      <c r="AR105" s="72"/>
      <c r="AS105" s="72"/>
      <c r="AT105" s="73"/>
    </row>
    <row r="106" ht="20" customHeight="1">
      <c r="AE106" s="74"/>
      <c r="AF106" s="75"/>
      <c r="AG106" t="s" s="76">
        <v>90</v>
      </c>
      <c r="AH106" t="s" s="76">
        <v>91</v>
      </c>
      <c r="AI106" t="s" s="76">
        <v>92</v>
      </c>
      <c r="AJ106" t="s" s="76">
        <v>93</v>
      </c>
      <c r="AK106" t="s" s="76">
        <v>94</v>
      </c>
      <c r="AL106" t="s" s="76">
        <v>95</v>
      </c>
      <c r="AM106" t="s" s="76">
        <v>96</v>
      </c>
      <c r="AN106" t="s" s="76">
        <v>74</v>
      </c>
      <c r="AO106" t="s" s="76">
        <v>97</v>
      </c>
      <c r="AP106" t="s" s="76">
        <v>76</v>
      </c>
      <c r="AQ106" t="s" s="76">
        <v>98</v>
      </c>
      <c r="AR106" t="s" s="76">
        <v>99</v>
      </c>
      <c r="AS106" t="s" s="76">
        <v>100</v>
      </c>
      <c r="AT106" t="s" s="77">
        <v>101</v>
      </c>
    </row>
    <row r="107" ht="8" customHeight="1" hidden="1">
      <c r="AE107" s="8"/>
      <c r="AF107" s="56"/>
      <c r="AG107" s="56">
        <v>1</v>
      </c>
      <c r="AH107" s="56">
        <v>2</v>
      </c>
      <c r="AI107" s="56">
        <v>3</v>
      </c>
      <c r="AJ107" s="56">
        <v>4</v>
      </c>
      <c r="AK107" s="56">
        <v>5</v>
      </c>
      <c r="AL107" s="56">
        <v>6</v>
      </c>
      <c r="AM107" s="56">
        <v>7</v>
      </c>
      <c r="AN107" s="56">
        <v>8</v>
      </c>
      <c r="AO107" s="56">
        <v>9</v>
      </c>
      <c r="AP107" s="56">
        <v>10</v>
      </c>
      <c r="AQ107" s="56">
        <v>11</v>
      </c>
      <c r="AR107" s="56">
        <v>12</v>
      </c>
      <c r="AS107" s="56">
        <v>13</v>
      </c>
      <c r="AT107" s="78">
        <v>14</v>
      </c>
    </row>
    <row r="108" ht="19" customHeight="1">
      <c r="AE108" t="s" s="21">
        <v>90</v>
      </c>
      <c r="AF108" s="54">
        <v>1</v>
      </c>
      <c r="AG108" s="22">
        <f>Q90*8.317</f>
        <v>0</v>
      </c>
      <c r="AH108" s="22">
        <f>R90*8.317</f>
        <v>3.218679</v>
      </c>
      <c r="AI108" s="22">
        <f>S90*8.317</f>
        <v>6.013191</v>
      </c>
      <c r="AJ108" s="22">
        <f>T90*8.317</f>
        <v>8.317</v>
      </c>
      <c r="AK108" s="22">
        <f>U90*8.317</f>
        <v>12.1253543</v>
      </c>
      <c r="AL108" s="22">
        <f>V90*8.317</f>
        <v>12.64184</v>
      </c>
      <c r="AM108" s="22">
        <f>W90*8.317</f>
        <v>23.029773</v>
      </c>
      <c r="AN108" s="22">
        <f>X90*8.317</f>
        <v>23.029773</v>
      </c>
      <c r="AO108" s="22">
        <f>Y90*8.317</f>
        <v>23.029773</v>
      </c>
      <c r="AP108" s="22">
        <f>Z90*8.317</f>
        <v>43.2484</v>
      </c>
      <c r="AQ108" s="22">
        <f>AA90*8.317</f>
        <v>79.67686</v>
      </c>
      <c r="AR108" s="22">
        <f>AB90*8.317</f>
        <v>159.6864</v>
      </c>
      <c r="AS108" s="22">
        <f>AC90*8.317</f>
        <v>249.92585</v>
      </c>
      <c r="AT108" s="79">
        <f>AD90*8.317</f>
        <v>328.35516</v>
      </c>
    </row>
    <row r="109" ht="19" customHeight="1">
      <c r="AE109" t="s" s="19">
        <v>91</v>
      </c>
      <c r="AF109" s="80">
        <v>2</v>
      </c>
      <c r="AG109" s="25">
        <f>Q91*8.317</f>
        <v>3.218679</v>
      </c>
      <c r="AH109" s="25">
        <f>R91*8.317</f>
        <v>0</v>
      </c>
      <c r="AI109" s="25">
        <f>S91*8.317</f>
        <v>6.453992</v>
      </c>
      <c r="AJ109" s="25">
        <f>T91*8.317</f>
        <v>8.633046</v>
      </c>
      <c r="AK109" s="25">
        <f>U91*8.317</f>
        <v>12.3373818281346</v>
      </c>
      <c r="AL109" s="25">
        <f>V91*8.317</f>
        <v>12.874716</v>
      </c>
      <c r="AM109" s="25">
        <f>W91*8.317</f>
        <v>23.1437426990793</v>
      </c>
      <c r="AN109" s="25">
        <f>X91*8.317</f>
        <v>23.1437426990793</v>
      </c>
      <c r="AO109" s="25">
        <f>Y91*8.317</f>
        <v>23.1437426990793</v>
      </c>
      <c r="AP109" s="25">
        <f>Z91*8.317</f>
        <v>43.348204</v>
      </c>
      <c r="AQ109" s="25">
        <f>AA91*8.317</f>
        <v>79.72676199999999</v>
      </c>
      <c r="AR109" s="25">
        <f>AB91*8.317</f>
        <v>159.711351</v>
      </c>
      <c r="AS109" s="25">
        <f>AC91*8.317</f>
        <v>249.917533</v>
      </c>
      <c r="AT109" s="81">
        <f>AD91*8.317</f>
        <v>328.450534727642</v>
      </c>
    </row>
    <row r="110" ht="19" customHeight="1">
      <c r="AE110" t="s" s="21">
        <v>92</v>
      </c>
      <c r="AF110" s="54">
        <v>3</v>
      </c>
      <c r="AG110" s="22">
        <f>Q92*8.317</f>
        <v>6.013191</v>
      </c>
      <c r="AH110" s="22">
        <f>R92*8.317</f>
        <v>6.453992</v>
      </c>
      <c r="AI110" s="22">
        <f>S92*8.317</f>
        <v>0</v>
      </c>
      <c r="AJ110" s="22">
        <f>T92*8.317</f>
        <v>9.448112</v>
      </c>
      <c r="AK110" s="22">
        <f>U92*8.317</f>
        <v>12.886849943241</v>
      </c>
      <c r="AL110" s="22">
        <f>V92*8.317</f>
        <v>13.398687</v>
      </c>
      <c r="AM110" s="22">
        <f>W92*8.317</f>
        <v>23.4259749404193</v>
      </c>
      <c r="AN110" s="22">
        <f>X92*8.317</f>
        <v>23.4259749404193</v>
      </c>
      <c r="AO110" s="22">
        <f>Y92*8.317</f>
        <v>23.4259749404193</v>
      </c>
      <c r="AP110" s="22">
        <f>Z92*8.317</f>
        <v>43.49791</v>
      </c>
      <c r="AQ110" s="22">
        <f>AA92*8.317</f>
        <v>79.809932</v>
      </c>
      <c r="AR110" s="22">
        <f>AB92*8.317</f>
        <v>159.752936</v>
      </c>
      <c r="AS110" s="22">
        <f>AC92*8.317</f>
        <v>249.942484</v>
      </c>
      <c r="AT110" s="79">
        <f>AD92*8.317</f>
        <v>328.450534727642</v>
      </c>
    </row>
    <row r="111" ht="19" customHeight="1">
      <c r="AE111" t="s" s="19">
        <v>93</v>
      </c>
      <c r="AF111" s="80">
        <v>4</v>
      </c>
      <c r="AG111" s="25">
        <f>Q93*8.317</f>
        <v>8.317</v>
      </c>
      <c r="AH111" s="25">
        <f>R93*8.317</f>
        <v>8.633046</v>
      </c>
      <c r="AI111" s="25">
        <f>S93*8.317</f>
        <v>9.448112</v>
      </c>
      <c r="AJ111" s="25">
        <f>T93*8.317</f>
        <v>0</v>
      </c>
      <c r="AK111" s="25">
        <f>U93*8.317</f>
        <v>13.6126512604151</v>
      </c>
      <c r="AL111" s="25">
        <f>V93*8.317</f>
        <v>14.080681</v>
      </c>
      <c r="AM111" s="25">
        <f>W93*8.317</f>
        <v>23.7875227861282</v>
      </c>
      <c r="AN111" s="25">
        <f>X93*8.317</f>
        <v>23.7875227861282</v>
      </c>
      <c r="AO111" s="25">
        <f>Y93*8.317</f>
        <v>23.7875227861282</v>
      </c>
      <c r="AP111" s="25">
        <f>Z93*8.317</f>
        <v>43.689201</v>
      </c>
      <c r="AQ111" s="25">
        <f>AA93*8.317</f>
        <v>79.909736</v>
      </c>
      <c r="AR111" s="25">
        <f>AB93*8.317</f>
        <v>159.802838</v>
      </c>
      <c r="AS111" s="25">
        <f>AC93*8.317</f>
        <v>249.975752</v>
      </c>
      <c r="AT111" s="81">
        <f>AD93*8.317</f>
        <v>328.450534727642</v>
      </c>
    </row>
    <row r="112" ht="19" customHeight="1">
      <c r="AE112" t="s" s="21">
        <v>94</v>
      </c>
      <c r="AF112" s="54">
        <v>5</v>
      </c>
      <c r="AG112" s="22">
        <f>Q94*8.317</f>
        <v>12.1253543</v>
      </c>
      <c r="AH112" s="22">
        <f>R94*8.317</f>
        <v>12.3373818281346</v>
      </c>
      <c r="AI112" s="22">
        <f>S94*8.317</f>
        <v>12.886849943241</v>
      </c>
      <c r="AJ112" s="22">
        <f>T94*8.317</f>
        <v>13.6126512604151</v>
      </c>
      <c r="AK112" s="22">
        <f>U94*8.317</f>
        <v>0</v>
      </c>
      <c r="AL112" s="22">
        <f>V94*8.317</f>
        <v>15.7672855974497</v>
      </c>
      <c r="AM112" s="22">
        <f>W94*8.317</f>
        <v>24.6184940532073</v>
      </c>
      <c r="AN112" s="22">
        <f>X94*8.317</f>
        <v>24.6184940532073</v>
      </c>
      <c r="AO112" s="22">
        <f>Y94*8.317</f>
        <v>24.6184940532073</v>
      </c>
      <c r="AP112" s="22">
        <f>Z94*8.317</f>
        <v>44.1002855988631</v>
      </c>
      <c r="AQ112" s="22">
        <f>AA94*8.317</f>
        <v>80.12549664036359</v>
      </c>
      <c r="AR112" s="22">
        <f>AB94*8.317</f>
        <v>159.911746992135</v>
      </c>
      <c r="AS112" s="22">
        <f>AC94*8.317</f>
        <v>250.240467045175</v>
      </c>
      <c r="AT112" s="79">
        <f>AD94*8.317</f>
        <v>328.450534727642</v>
      </c>
    </row>
    <row r="113" ht="19" customHeight="1">
      <c r="AE113" t="s" s="19">
        <v>95</v>
      </c>
      <c r="AF113" s="80">
        <v>6</v>
      </c>
      <c r="AG113" s="25">
        <f>Q95*8.317</f>
        <v>12.64184</v>
      </c>
      <c r="AH113" s="25">
        <f>R95*8.317</f>
        <v>12.874716</v>
      </c>
      <c r="AI113" s="25">
        <f>S95*8.317</f>
        <v>13.398687</v>
      </c>
      <c r="AJ113" s="25">
        <f>T95*8.317</f>
        <v>14.080681</v>
      </c>
      <c r="AK113" s="25">
        <f>U95*8.317</f>
        <v>15.7672855974497</v>
      </c>
      <c r="AL113" s="25">
        <f>V95*8.317</f>
        <v>0</v>
      </c>
      <c r="AM113" s="25">
        <f>W95*8.317</f>
        <v>24.7530870213685</v>
      </c>
      <c r="AN113" s="25">
        <f>X95*8.317</f>
        <v>24.7530870213685</v>
      </c>
      <c r="AO113" s="25">
        <f>Y95*8.317</f>
        <v>24.7530870213685</v>
      </c>
      <c r="AP113" s="25">
        <f>Z95*8.317</f>
        <v>44.221489</v>
      </c>
      <c r="AQ113" s="25">
        <f>AA95*8.317</f>
        <v>80.20083099999999</v>
      </c>
      <c r="AR113" s="25">
        <f>AB95*8.317</f>
        <v>159.944227</v>
      </c>
      <c r="AS113" s="25">
        <f>AC95*8.317</f>
        <v>250.067239</v>
      </c>
      <c r="AT113" s="81">
        <f>AD95*8.317</f>
        <v>328.450534727642</v>
      </c>
    </row>
    <row r="114" ht="19" customHeight="1">
      <c r="AE114" t="s" s="21">
        <v>96</v>
      </c>
      <c r="AF114" s="54">
        <v>7</v>
      </c>
      <c r="AG114" s="22">
        <f>Q96*8.317</f>
        <v>23.029773</v>
      </c>
      <c r="AH114" s="22">
        <f>R96*8.317</f>
        <v>23.1437426990793</v>
      </c>
      <c r="AI114" s="22">
        <f>S96*8.317</f>
        <v>23.4259749404193</v>
      </c>
      <c r="AJ114" s="22">
        <f>T96*8.317</f>
        <v>23.7875227861282</v>
      </c>
      <c r="AK114" s="22">
        <f>U96*8.317</f>
        <v>24.6184940532073</v>
      </c>
      <c r="AL114" s="22">
        <f>V96*8.317</f>
        <v>24.7530870213685</v>
      </c>
      <c r="AM114" s="22">
        <f>W96*8.317</f>
        <v>0</v>
      </c>
      <c r="AN114" s="22">
        <f>X96*8.317</f>
        <v>23.029773</v>
      </c>
      <c r="AO114" s="22">
        <f>Y96*8.317</f>
        <v>46.059546</v>
      </c>
      <c r="AP114" s="22">
        <f>Z96*8.317</f>
        <v>46.4133949490191</v>
      </c>
      <c r="AQ114" s="22">
        <f>AA96*8.317</f>
        <v>81.0774909181648</v>
      </c>
      <c r="AR114" s="22">
        <f>AB96*8.317</f>
        <v>160.522605279127</v>
      </c>
      <c r="AS114" s="22">
        <f>AC96*8.317</f>
        <v>250.227283076225</v>
      </c>
      <c r="AT114" s="79">
        <f>AD96*8.317</f>
        <v>328.450534727642</v>
      </c>
    </row>
    <row r="115" ht="19" customHeight="1">
      <c r="AE115" t="s" s="19">
        <v>74</v>
      </c>
      <c r="AF115" s="80">
        <v>8</v>
      </c>
      <c r="AG115" s="25">
        <f>Q97*8.317</f>
        <v>23.029773</v>
      </c>
      <c r="AH115" s="25">
        <f>R97*8.317</f>
        <v>23.1437426990793</v>
      </c>
      <c r="AI115" s="25">
        <f>S97*8.317</f>
        <v>23.4259749404193</v>
      </c>
      <c r="AJ115" s="25">
        <f>T97*8.317</f>
        <v>23.7875227861282</v>
      </c>
      <c r="AK115" s="25">
        <f>U97*8.317</f>
        <v>24.6184940532073</v>
      </c>
      <c r="AL115" s="25">
        <f>V97*8.317</f>
        <v>24.7530870213685</v>
      </c>
      <c r="AM115" s="25">
        <f>W97*8.317</f>
        <v>23.029773</v>
      </c>
      <c r="AN115" s="25">
        <f>X97*8.317</f>
        <v>0</v>
      </c>
      <c r="AO115" s="25">
        <f>Y97*8.317</f>
        <v>39.8887369227779</v>
      </c>
      <c r="AP115" s="25">
        <f>Z97*8.317</f>
        <v>46.4133949490191</v>
      </c>
      <c r="AQ115" s="25">
        <f>AA97*8.317</f>
        <v>81.0774909181648</v>
      </c>
      <c r="AR115" s="25">
        <f>AB97*8.317</f>
        <v>160.522605279127</v>
      </c>
      <c r="AS115" s="25">
        <f>AC97*8.317</f>
        <v>250.227283076225</v>
      </c>
      <c r="AT115" s="81">
        <f>AD97*8.317</f>
        <v>328.450534727642</v>
      </c>
    </row>
    <row r="116" ht="19" customHeight="1">
      <c r="AE116" t="s" s="21">
        <v>97</v>
      </c>
      <c r="AF116" s="54">
        <v>9</v>
      </c>
      <c r="AG116" s="22">
        <f>Q98*8.317</f>
        <v>23.029773</v>
      </c>
      <c r="AH116" s="22">
        <f>R98*8.317</f>
        <v>23.1437426990793</v>
      </c>
      <c r="AI116" s="22">
        <f>S98*8.317</f>
        <v>23.4259749404193</v>
      </c>
      <c r="AJ116" s="22">
        <f>T98*8.317</f>
        <v>23.7875227861282</v>
      </c>
      <c r="AK116" s="22">
        <f>U98*8.317</f>
        <v>24.6184940532073</v>
      </c>
      <c r="AL116" s="22">
        <f>V98*8.317</f>
        <v>24.7530870213685</v>
      </c>
      <c r="AM116" s="22">
        <f>W98*8.317</f>
        <v>46.059546</v>
      </c>
      <c r="AN116" s="22">
        <f>X98*8.317</f>
        <v>39.8887369227779</v>
      </c>
      <c r="AO116" s="22">
        <f>Y98*8.317</f>
        <v>0</v>
      </c>
      <c r="AP116" s="22">
        <f>Z98*8.317</f>
        <v>46.4133949490191</v>
      </c>
      <c r="AQ116" s="22">
        <f>AA98*8.317</f>
        <v>81.0774909181648</v>
      </c>
      <c r="AR116" s="22">
        <f>AB98*8.317</f>
        <v>160.522605279127</v>
      </c>
      <c r="AS116" s="22">
        <f>AC98*8.317</f>
        <v>250.227283076225</v>
      </c>
      <c r="AT116" s="79">
        <f>AD98*8.317</f>
        <v>328.836936207991</v>
      </c>
    </row>
    <row r="117" ht="19" customHeight="1">
      <c r="AE117" t="s" s="19">
        <v>76</v>
      </c>
      <c r="AF117" s="80">
        <v>10</v>
      </c>
      <c r="AG117" s="25">
        <f>Q99*8.317</f>
        <v>43.2484</v>
      </c>
      <c r="AH117" s="25">
        <f>R99*8.317</f>
        <v>43.348204</v>
      </c>
      <c r="AI117" s="25">
        <f>S99*8.317</f>
        <v>43.49791</v>
      </c>
      <c r="AJ117" s="25">
        <f>T99*8.317</f>
        <v>43.689201</v>
      </c>
      <c r="AK117" s="25">
        <f>U99*8.317</f>
        <v>44.1002855988631</v>
      </c>
      <c r="AL117" s="25">
        <f>V99*8.317</f>
        <v>44.221489</v>
      </c>
      <c r="AM117" s="25">
        <f>W99*8.317</f>
        <v>46.4133949490191</v>
      </c>
      <c r="AN117" s="25">
        <f>X99*8.317</f>
        <v>46.4133949490191</v>
      </c>
      <c r="AO117" s="25">
        <f>Y99*8.317</f>
        <v>46.4133949490191</v>
      </c>
      <c r="AP117" s="25">
        <f>Z99*8.317</f>
        <v>0</v>
      </c>
      <c r="AQ117" s="25">
        <f>AA99*8.317</f>
        <v>85.690051</v>
      </c>
      <c r="AR117" s="25">
        <f>AB99*8.317</f>
        <v>162.647252</v>
      </c>
      <c r="AS117" s="25">
        <f>AC99*8.317</f>
        <v>251.780541</v>
      </c>
      <c r="AT117" s="81">
        <f>AD99*8.317</f>
        <v>329.778822246787</v>
      </c>
    </row>
    <row r="118" ht="19" customHeight="1">
      <c r="AE118" t="s" s="21">
        <v>98</v>
      </c>
      <c r="AF118" s="54">
        <v>11</v>
      </c>
      <c r="AG118" s="22">
        <f>Q100*8.317</f>
        <v>79.67686</v>
      </c>
      <c r="AH118" s="22">
        <f>R100*8.317</f>
        <v>79.72676199999999</v>
      </c>
      <c r="AI118" s="22">
        <f>S100*8.317</f>
        <v>79.809932</v>
      </c>
      <c r="AJ118" s="22">
        <f>T100*8.317</f>
        <v>79.909736</v>
      </c>
      <c r="AK118" s="22">
        <f>U100*8.317</f>
        <v>80.12549664036359</v>
      </c>
      <c r="AL118" s="22">
        <f>V100*8.317</f>
        <v>80.20083099999999</v>
      </c>
      <c r="AM118" s="22">
        <f>W100*8.317</f>
        <v>81.0774909181648</v>
      </c>
      <c r="AN118" s="22">
        <f>X100*8.317</f>
        <v>81.0774909181648</v>
      </c>
      <c r="AO118" s="22">
        <f>Y100*8.317</f>
        <v>81.0774909181648</v>
      </c>
      <c r="AP118" s="22">
        <f>Z100*8.317</f>
        <v>85.690051</v>
      </c>
      <c r="AQ118" s="22">
        <f>AA100*8.317</f>
        <v>0</v>
      </c>
      <c r="AR118" s="22">
        <f>AB100*8.317</f>
        <v>169.808189</v>
      </c>
      <c r="AS118" s="22">
        <f>AC100*8.317</f>
        <v>256.296672</v>
      </c>
      <c r="AT118" s="79">
        <f>AD100*8.317</f>
        <v>333.273685919661</v>
      </c>
    </row>
    <row r="119" ht="19" customHeight="1">
      <c r="AE119" t="s" s="19">
        <v>99</v>
      </c>
      <c r="AF119" s="80">
        <v>12</v>
      </c>
      <c r="AG119" s="25">
        <f>Q101*8.317</f>
        <v>159.6864</v>
      </c>
      <c r="AH119" s="25">
        <f>R101*8.317</f>
        <v>159.711351</v>
      </c>
      <c r="AI119" s="25">
        <f>S101*8.317</f>
        <v>159.752936</v>
      </c>
      <c r="AJ119" s="25">
        <f>T101*8.317</f>
        <v>159.802838</v>
      </c>
      <c r="AK119" s="25">
        <f>U101*8.317</f>
        <v>159.911746992135</v>
      </c>
      <c r="AL119" s="25">
        <f>V101*8.317</f>
        <v>159.944227</v>
      </c>
      <c r="AM119" s="25">
        <f>W101*8.317</f>
        <v>160.522605279127</v>
      </c>
      <c r="AN119" s="25">
        <f>X101*8.317</f>
        <v>160.522605279127</v>
      </c>
      <c r="AO119" s="25">
        <f>Y101*8.317</f>
        <v>160.522605279127</v>
      </c>
      <c r="AP119" s="25">
        <f>Z101*8.317</f>
        <v>162.647252</v>
      </c>
      <c r="AQ119" s="25">
        <f>AA101*8.317</f>
        <v>169.808189</v>
      </c>
      <c r="AR119" s="25">
        <f>AB101*8.317</f>
        <v>0</v>
      </c>
      <c r="AS119" s="25">
        <f>AC101*8.317</f>
        <v>276.149351</v>
      </c>
      <c r="AT119" s="81">
        <f>AD101*8.317</f>
        <v>347.980535653093</v>
      </c>
    </row>
    <row r="120" ht="19" customHeight="1">
      <c r="AE120" t="s" s="21">
        <v>100</v>
      </c>
      <c r="AF120" s="54">
        <v>13</v>
      </c>
      <c r="AG120" s="22">
        <f>Q102*8.317</f>
        <v>249.92585</v>
      </c>
      <c r="AH120" s="22">
        <f>R102*8.317</f>
        <v>249.917533</v>
      </c>
      <c r="AI120" s="22">
        <f>S102*8.317</f>
        <v>249.942484</v>
      </c>
      <c r="AJ120" s="22">
        <f>T102*8.317</f>
        <v>249.975752</v>
      </c>
      <c r="AK120" s="22">
        <f>U102*8.317</f>
        <v>250.240467045175</v>
      </c>
      <c r="AL120" s="22">
        <f>V102*8.317</f>
        <v>250.067239</v>
      </c>
      <c r="AM120" s="22">
        <f>W102*8.317</f>
        <v>250.227283076225</v>
      </c>
      <c r="AN120" s="22">
        <f>X102*8.317</f>
        <v>250.227283076225</v>
      </c>
      <c r="AO120" s="22">
        <f>Y102*8.317</f>
        <v>250.227283076225</v>
      </c>
      <c r="AP120" s="22">
        <f>Z102*8.317</f>
        <v>251.780541</v>
      </c>
      <c r="AQ120" s="22">
        <f>AA102*8.317</f>
        <v>256.296672</v>
      </c>
      <c r="AR120" s="22">
        <f>AB102*8.317</f>
        <v>276.149351</v>
      </c>
      <c r="AS120" s="22">
        <f>AC102*8.317</f>
        <v>0</v>
      </c>
      <c r="AT120" s="79">
        <f>AD102*8.317</f>
        <v>379.189478699216</v>
      </c>
    </row>
    <row r="121" ht="20" customHeight="1">
      <c r="AE121" t="s" s="28">
        <v>101</v>
      </c>
      <c r="AF121" s="82">
        <v>14</v>
      </c>
      <c r="AG121" s="83">
        <f>Q103*8.317</f>
        <v>328.5215</v>
      </c>
      <c r="AH121" s="83">
        <f>R103*8.317</f>
        <v>328.450534727642</v>
      </c>
      <c r="AI121" s="83">
        <f>S103*8.317</f>
        <v>328.451471901338</v>
      </c>
      <c r="AJ121" s="83">
        <f>T103*8.317</f>
        <v>327.928195408404</v>
      </c>
      <c r="AK121" s="83">
        <f>U103*8.317</f>
        <v>328.386290676533</v>
      </c>
      <c r="AL121" s="83">
        <f>V103*8.317</f>
        <v>327.799003102223</v>
      </c>
      <c r="AM121" s="83">
        <f>W103*8.317</f>
        <v>328.836936207991</v>
      </c>
      <c r="AN121" s="83">
        <f>X103*8.317</f>
        <v>328.836936207991</v>
      </c>
      <c r="AO121" s="83">
        <f>Y103*8.317</f>
        <v>328.836936207991</v>
      </c>
      <c r="AP121" s="83">
        <f>Z103*8.317</f>
        <v>329.778822246787</v>
      </c>
      <c r="AQ121" s="83">
        <f>AA103*8.317</f>
        <v>333.273685919661</v>
      </c>
      <c r="AR121" s="83">
        <f>AB103*8.317</f>
        <v>347.980535653093</v>
      </c>
      <c r="AS121" s="83">
        <f>AC103*8.317</f>
        <v>379.189478699216</v>
      </c>
      <c r="AT121" s="84">
        <f>AD103*8.317</f>
        <v>0</v>
      </c>
    </row>
  </sheetData>
  <mergeCells count="23">
    <mergeCell ref="B1:D1"/>
    <mergeCell ref="B3:D3"/>
    <mergeCell ref="B6:D6"/>
    <mergeCell ref="B20:D20"/>
    <mergeCell ref="B17:D17"/>
    <mergeCell ref="B8:D8"/>
    <mergeCell ref="B2:D2"/>
    <mergeCell ref="E24:G24"/>
    <mergeCell ref="I31:J31"/>
    <mergeCell ref="I32:J32"/>
    <mergeCell ref="H30:J30"/>
    <mergeCell ref="H49:J49"/>
    <mergeCell ref="H53:J53"/>
    <mergeCell ref="H29:J29"/>
    <mergeCell ref="H37:J37"/>
    <mergeCell ref="H40:J40"/>
    <mergeCell ref="K57:M57"/>
    <mergeCell ref="K59:M59"/>
    <mergeCell ref="K62:M62"/>
    <mergeCell ref="K78:M78"/>
    <mergeCell ref="K74:M74"/>
    <mergeCell ref="K65:M65"/>
    <mergeCell ref="K58:M58"/>
  </mergeCells>
  <conditionalFormatting sqref="C18:C19">
    <cfRule type="cellIs" dxfId="0" priority="1" operator="lessThan" stopIfTrue="1">
      <formula>0</formula>
    </cfRule>
  </conditionalFormatting>
  <conditionalFormatting sqref="C22">
    <cfRule type="cellIs" dxfId="1" priority="1" operator="greaterThan" stopIfTrue="1">
      <formula>100</formula>
    </cfRule>
  </conditionalFormatting>
  <conditionalFormatting sqref="I50">
    <cfRule type="cellIs" dxfId="2" priority="1" operator="lessThan" stopIfTrue="1">
      <formula>0</formula>
    </cfRule>
  </conditionalFormatting>
  <conditionalFormatting sqref="I55">
    <cfRule type="cellIs" dxfId="3" priority="1" operator="greaterThan" stopIfTrue="1">
      <formula>100</formula>
    </cfRule>
  </conditionalFormatting>
  <conditionalFormatting sqref="L75">
    <cfRule type="cellIs" dxfId="4" priority="1" operator="lessThan" stopIfTrue="1">
      <formula>0</formula>
    </cfRule>
  </conditionalFormatting>
  <conditionalFormatting sqref="L80">
    <cfRule type="cellIs" dxfId="5" priority="1" operator="greaterThan" stopIfTrue="1">
      <formula>100</formula>
    </cfRule>
  </conditionalFormatting>
  <dataValidations count="1">
    <dataValidation type="list" allowBlank="1" showInputMessage="1" showErrorMessage="1" sqref="I31:I32">
      <formula1>"Sol,Mercury,Venus,Earth,Eros,Mars,Ceres,Tycho,Anderson,Jupiter,Saturn,Uranus,Neptune,Pluto"</formula1>
    </dataValidation>
  </dataValidation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